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35" windowHeight="8310" tabRatio="936" activeTab="0"/>
  </bookViews>
  <sheets>
    <sheet name="รายงานกระแสเงินสด" sheetId="1" r:id="rId1"/>
    <sheet name="รับ - จ่าย" sheetId="2" r:id="rId2"/>
  </sheets>
  <definedNames>
    <definedName name="_xlnm.Print_Area" localSheetId="1">'รับ - จ่าย'!$A$1:$F$78</definedName>
  </definedNames>
  <calcPr fullCalcOnLoad="1"/>
</workbook>
</file>

<file path=xl/sharedStrings.xml><?xml version="1.0" encoding="utf-8"?>
<sst xmlns="http://schemas.openxmlformats.org/spreadsheetml/2006/main" count="116" uniqueCount="105">
  <si>
    <t>องค์การบริหารส่วนตำบลบ้านใหม่</t>
  </si>
  <si>
    <t>จึงถึงปัจจุบัน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</si>
  <si>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</si>
  <si>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</si>
  <si>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</si>
  <si>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</si>
  <si>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</si>
  <si>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</si>
  <si>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</si>
  <si>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</si>
  <si>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</si>
  <si>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</si>
  <si>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</si>
  <si>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</si>
  <si>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</si>
  <si>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</si>
  <si>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รายงาน   รับ - จ่าย   เงินสด</t>
  </si>
  <si>
    <t>0100</t>
  </si>
  <si>
    <t>0200</t>
  </si>
  <si>
    <t>0250</t>
  </si>
  <si>
    <t>0300</t>
  </si>
  <si>
    <t>0350</t>
  </si>
  <si>
    <t>1000</t>
  </si>
  <si>
    <t>2000</t>
  </si>
  <si>
    <t>0120</t>
  </si>
  <si>
    <t>รายจ่าย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</si>
  <si>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</si>
  <si>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</si>
  <si>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</si>
  <si>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</si>
  <si>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</si>
  <si>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</si>
  <si>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</si>
  <si>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</si>
  <si>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</si>
  <si>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</si>
  <si>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ยอดยกไป</t>
  </si>
  <si>
    <t>200</t>
  </si>
  <si>
    <t>250</t>
  </si>
  <si>
    <t>270</t>
  </si>
  <si>
    <t>300</t>
  </si>
  <si>
    <t>400</t>
  </si>
  <si>
    <t>450</t>
  </si>
  <si>
    <t>500</t>
  </si>
  <si>
    <t>ลูกหนี้โครงการเศรษฐกิจชุมชน</t>
  </si>
  <si>
    <t>ภาษีหัก ณ ที่จ่าย</t>
  </si>
  <si>
    <t>รวมเงิน</t>
  </si>
  <si>
    <t>รวมรายรับทั้งสิ้น</t>
  </si>
  <si>
    <t>เงินรับฝาก (หมายเหตุ 1)</t>
  </si>
  <si>
    <t>ต่ำกว่า</t>
  </si>
  <si>
    <t>รวมรายจ่ายทั้งสิ้น</t>
  </si>
  <si>
    <t>รวม</t>
  </si>
  <si>
    <t>120</t>
  </si>
  <si>
    <t>รายรับ</t>
  </si>
  <si>
    <t>จ่ายขาดเงินสะสม</t>
  </si>
  <si>
    <t>รายจ่ายค้างจ่าย</t>
  </si>
  <si>
    <t>หลักประกันสัญญา</t>
  </si>
  <si>
    <t>นายกองค์การบริหารส่วนตำบลบ้านใหม่</t>
  </si>
  <si>
    <t>ค่าจ้างลูกจ้างชั่วคราว</t>
  </si>
  <si>
    <t>000</t>
  </si>
  <si>
    <t>เงินสะสม</t>
  </si>
  <si>
    <t xml:space="preserve">เงินกู้ยืมโครงการเศรษฐกิจชุมชน </t>
  </si>
  <si>
    <t>ลูกหนี้-เงินยืมเงินสะสม</t>
  </si>
  <si>
    <t>ลูกหนี้ค่าภาษีบำรุงท้องที่</t>
  </si>
  <si>
    <t xml:space="preserve"> </t>
  </si>
  <si>
    <t>(นายไพโรจน์  พึ่งทหาร)</t>
  </si>
  <si>
    <t>รายจ่ายรวมเงินอุดหนุนเฉพาะกิจ</t>
  </si>
  <si>
    <t>รายรับรวมเงินอุดหนุนเฉพาะกิจ</t>
  </si>
  <si>
    <t>เงินอุดหนุนเฉพาะกิจ (เบี้ยยังชีพผู้สูงอายุ)</t>
  </si>
  <si>
    <t>เงินอุดหนุนเฉพาะกิจ (เบี้ยยังชีพผู้พิการ)</t>
  </si>
  <si>
    <t>รายจ่ายรอจ่าย</t>
  </si>
  <si>
    <t>(นางสาวสุรีย์  พิมพ์ปรุ)</t>
  </si>
  <si>
    <t>(นางปริณดา  รุ่งเรือง)</t>
  </si>
  <si>
    <t>ผู้อำนวยการกองคลัง</t>
  </si>
  <si>
    <t xml:space="preserve">        ปีงบประมาณ  2555</t>
  </si>
  <si>
    <t>รวมเงินอุดหนุนเฉพาะกิจ</t>
  </si>
  <si>
    <t>เงินอุดหนุนทั่วไป</t>
  </si>
  <si>
    <t>ลูกหนี้-เงินยืมเงินงบประมาณ</t>
  </si>
  <si>
    <t>รวมจ่ายเงินอุดหนุนเฉพาะกิจ</t>
  </si>
  <si>
    <t>ปลัดองค์การบริหารส่วนตำบลบ้านใหม่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</si>
  <si>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</si>
  <si>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</si>
  <si>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</si>
  <si>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</si>
  <si>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</si>
  <si>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</si>
  <si>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</si>
  <si>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</si>
  <si>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จ่ายเงินสะสม</t>
  </si>
  <si>
    <t>รับสูง หรือ (ต่ำ) กว่าจ่าย</t>
  </si>
  <si>
    <t>จ่ายเงินอุดหนุนเฉพาะกิจ</t>
  </si>
  <si>
    <t>……………………………….</t>
  </si>
  <si>
    <t>..................................................</t>
  </si>
  <si>
    <t>รองปลัดองค์การบริหารส่วนตำบล รักษาราชการแทน</t>
  </si>
  <si>
    <t>เงินอุดหนุนเฉพาะกิจ เงินเดือนครูศูนย์เด็ก</t>
  </si>
  <si>
    <t>ลูกหนี้เงินยืมเงินงบประมาณ</t>
  </si>
  <si>
    <t>ลูกหนี้เงินยืมเงินสะสม</t>
  </si>
  <si>
    <t>ลูกหนี้ค่าภาษีโรงเรือน</t>
  </si>
  <si>
    <t>เงินเกินบัญชี</t>
  </si>
  <si>
    <r>
      <t xml:space="preserve">อำเภอ </t>
    </r>
    <r>
      <rPr>
        <sz val="14"/>
        <rFont val="Angsana New"/>
        <family val="1"/>
      </rPr>
      <t xml:space="preserve">  เมืองนครราชสีมา       </t>
    </r>
    <r>
      <rPr>
        <b/>
        <sz val="14"/>
        <rFont val="Angsana New"/>
        <family val="1"/>
      </rPr>
      <t xml:space="preserve"> จังหวัด</t>
    </r>
    <r>
      <rPr>
        <sz val="14"/>
        <rFont val="Angsana New"/>
        <family val="1"/>
      </rPr>
      <t xml:space="preserve">   นครราชีมา</t>
    </r>
  </si>
  <si>
    <r>
      <t xml:space="preserve">รายรับ </t>
    </r>
    <r>
      <rPr>
        <sz val="14"/>
        <rFont val="Angsana New"/>
        <family val="1"/>
      </rPr>
      <t xml:space="preserve">                         รายจ่าย</t>
    </r>
  </si>
  <si>
    <t>ประมาณการ (บาท)</t>
  </si>
  <si>
    <t>เกิดขึ้นจริง (บาท)</t>
  </si>
  <si>
    <t>ณ วันที่ 30  ธันวาคม  2554</t>
  </si>
  <si>
    <t xml:space="preserve">                                                                    ประจำเดือน  ธันวาคม  2554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</si>
</sst>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+_-* #,##0.00_-;\-* #,##0.00_-;_-* &quot;-&quot;??_-;_-@_-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#,##0.00_ ;\-#,##0.00\ "/>
    <numFmt numFmtId="192" formatCode="[$-41E]d\ mmmm\ yyyy"/>
    <numFmt numFmtId="193" formatCode="0.000"/>
    <numFmt numFmtId="194" formatCode="#,##0.000"/>
    <numFmt numFmtId="195" formatCode="#,##0.0"/>
  </numFmts>
  <fonts count="13">
    <font>
      <sz val="14"/>
      <name val="Cordia New"/>
      <family val="0"/>
    </font>
    <font>
      <sz val="16"/>
      <name val="Angsana New"/>
      <family val="1"/>
    </font>
    <font>
      <sz val="8"/>
      <name val="Cordia New"/>
      <family val="0"/>
    </font>
    <font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4"/>
      <name val="Angsana New"/>
      <family val="1"/>
    </font>
    <font>
      <u val="single"/>
      <sz val="14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12"/>
      <name val="Angsana New"/>
      <family val="1"/>
    </font>
    <font>
      <b/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3" fontId="0" fillId="0" borderId="0" xfId="17" applyAlignment="1">
      <alignment/>
    </xf>
    <xf numFmtId="43" fontId="0" fillId="0" borderId="1" xfId="17" applyBorder="1" applyAlignment="1">
      <alignment/>
    </xf>
    <xf numFmtId="43" fontId="0" fillId="0" borderId="2" xfId="17" applyBorder="1" applyAlignment="1">
      <alignment/>
    </xf>
    <xf numFmtId="43" fontId="0" fillId="0" borderId="0" xfId="17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9" xfId="17" applyFont="1" applyBorder="1" applyAlignment="1">
      <alignment/>
    </xf>
    <xf numFmtId="43" fontId="3" fillId="0" borderId="5" xfId="17" applyFont="1" applyBorder="1" applyAlignment="1">
      <alignment/>
    </xf>
    <xf numFmtId="0" fontId="3" fillId="0" borderId="7" xfId="0" applyFont="1" applyBorder="1" applyAlignment="1">
      <alignment/>
    </xf>
    <xf numFmtId="43" fontId="3" fillId="0" borderId="10" xfId="17" applyFont="1" applyBorder="1" applyAlignment="1">
      <alignment/>
    </xf>
    <xf numFmtId="43" fontId="3" fillId="0" borderId="11" xfId="17" applyFont="1" applyBorder="1" applyAlignment="1">
      <alignment/>
    </xf>
    <xf numFmtId="43" fontId="3" fillId="0" borderId="12" xfId="17" applyFont="1" applyBorder="1" applyAlignment="1">
      <alignment/>
    </xf>
    <xf numFmtId="0" fontId="3" fillId="0" borderId="8" xfId="0" applyFont="1" applyBorder="1" applyAlignment="1">
      <alignment/>
    </xf>
    <xf numFmtId="43" fontId="3" fillId="0" borderId="8" xfId="17" applyFont="1" applyBorder="1" applyAlignment="1">
      <alignment/>
    </xf>
    <xf numFmtId="0" fontId="3" fillId="0" borderId="3" xfId="0" applyFont="1" applyBorder="1" applyAlignment="1">
      <alignment/>
    </xf>
    <xf numFmtId="49" fontId="3" fillId="0" borderId="8" xfId="0" applyNumberFormat="1" applyFont="1" applyBorder="1" applyAlignment="1">
      <alignment horizontal="center"/>
    </xf>
    <xf numFmtId="43" fontId="9" fillId="0" borderId="11" xfId="17" applyFont="1" applyBorder="1" applyAlignment="1">
      <alignment/>
    </xf>
    <xf numFmtId="43" fontId="3" fillId="0" borderId="13" xfId="17" applyFont="1" applyBorder="1" applyAlignment="1">
      <alignment/>
    </xf>
    <xf numFmtId="43" fontId="10" fillId="0" borderId="0" xfId="0" applyNumberFormat="1" applyFont="1" applyAlignment="1">
      <alignment/>
    </xf>
    <xf numFmtId="43" fontId="3" fillId="0" borderId="0" xfId="17" applyFont="1" applyBorder="1" applyAlignment="1">
      <alignment/>
    </xf>
    <xf numFmtId="43" fontId="3" fillId="0" borderId="4" xfId="17" applyFont="1" applyBorder="1" applyAlignment="1">
      <alignment/>
    </xf>
    <xf numFmtId="43" fontId="7" fillId="0" borderId="12" xfId="17" applyFont="1" applyBorder="1" applyAlignment="1">
      <alignment/>
    </xf>
    <xf numFmtId="0" fontId="3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7" xfId="17" applyFont="1" applyBorder="1" applyAlignment="1">
      <alignment/>
    </xf>
    <xf numFmtId="0" fontId="8" fillId="0" borderId="5" xfId="0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3" fillId="0" borderId="12" xfId="0" applyFont="1" applyBorder="1" applyAlignment="1">
      <alignment/>
    </xf>
    <xf numFmtId="43" fontId="3" fillId="0" borderId="0" xfId="0" applyNumberFormat="1" applyFont="1" applyAlignment="1">
      <alignment/>
    </xf>
    <xf numFmtId="43" fontId="9" fillId="0" borderId="8" xfId="17" applyFont="1" applyBorder="1" applyAlignment="1">
      <alignment/>
    </xf>
    <xf numFmtId="43" fontId="9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43" fontId="3" fillId="0" borderId="8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/>
    </xf>
    <xf numFmtId="43" fontId="3" fillId="0" borderId="8" xfId="17" applyFont="1" applyBorder="1" applyAlignment="1">
      <alignment horizontal="center"/>
    </xf>
    <xf numFmtId="0" fontId="11" fillId="0" borderId="0" xfId="0" applyFont="1" applyBorder="1" applyAlignment="1">
      <alignment/>
    </xf>
    <xf numFmtId="43" fontId="11" fillId="0" borderId="0" xfId="0" applyNumberFormat="1" applyFont="1" applyBorder="1" applyAlignment="1">
      <alignment/>
    </xf>
    <xf numFmtId="43" fontId="10" fillId="0" borderId="0" xfId="0" applyNumberFormat="1" applyFont="1" applyBorder="1" applyAlignment="1">
      <alignment/>
    </xf>
    <xf numFmtId="43" fontId="3" fillId="0" borderId="4" xfId="0" applyNumberFormat="1" applyFont="1" applyBorder="1" applyAlignment="1">
      <alignment/>
    </xf>
    <xf numFmtId="43" fontId="3" fillId="0" borderId="3" xfId="17" applyFont="1" applyBorder="1" applyAlignment="1">
      <alignment/>
    </xf>
    <xf numFmtId="43" fontId="10" fillId="0" borderId="3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2" xfId="0" applyFont="1" applyBorder="1" applyAlignment="1">
      <alignment/>
    </xf>
    <xf numFmtId="43" fontId="9" fillId="0" borderId="4" xfId="17" applyFont="1" applyBorder="1" applyAlignment="1">
      <alignment/>
    </xf>
    <xf numFmtId="43" fontId="10" fillId="0" borderId="0" xfId="17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35</xdr:row>
      <xdr:rowOff>76200</xdr:rowOff>
    </xdr:from>
    <xdr:to>
      <xdr:col>1</xdr:col>
      <xdr:colOff>1133475</xdr:colOff>
      <xdr:row>38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486900"/>
          <a:ext cx="21621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(นางปริณดา  รุ่งเรือง)
  ผู้อำนวยการกองคลัง
</a:t>
          </a:r>
        </a:p>
      </xdr:txBody>
    </xdr:sp>
    <xdr:clientData/>
  </xdr:twoCellAnchor>
  <xdr:twoCellAnchor>
    <xdr:from>
      <xdr:col>2</xdr:col>
      <xdr:colOff>247650</xdr:colOff>
      <xdr:row>63</xdr:row>
      <xdr:rowOff>0</xdr:rowOff>
    </xdr:from>
    <xdr:to>
      <xdr:col>3</xdr:col>
      <xdr:colOff>1695450</xdr:colOff>
      <xdr:row>63</xdr:row>
      <xdr:rowOff>28575</xdr:rowOff>
    </xdr:to>
    <xdr:sp>
      <xdr:nvSpPr>
        <xdr:cNvPr id="2" name="TextBox 7"/>
        <xdr:cNvSpPr txBox="1">
          <a:spLocks noChangeArrowheads="1"/>
        </xdr:cNvSpPr>
      </xdr:nvSpPr>
      <xdr:spPr>
        <a:xfrm>
          <a:off x="2505075" y="16916400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63</xdr:row>
      <xdr:rowOff>0</xdr:rowOff>
    </xdr:from>
    <xdr:to>
      <xdr:col>5</xdr:col>
      <xdr:colOff>1104900</xdr:colOff>
      <xdr:row>63</xdr:row>
      <xdr:rowOff>28575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4486275" y="16916400"/>
          <a:ext cx="24574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1990725</xdr:colOff>
      <xdr:row>35</xdr:row>
      <xdr:rowOff>66675</xdr:rowOff>
    </xdr:from>
    <xdr:to>
      <xdr:col>5</xdr:col>
      <xdr:colOff>1190625</xdr:colOff>
      <xdr:row>38</xdr:row>
      <xdr:rowOff>180975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4591050" y="9477375"/>
          <a:ext cx="24384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(นายไพโรจน์   พึ่งทหาร)
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นายกองค์การบริหารส่วนตำบล </a:t>
          </a:r>
        </a:p>
      </xdr:txBody>
    </xdr:sp>
    <xdr:clientData/>
  </xdr:twoCellAnchor>
  <xdr:twoCellAnchor>
    <xdr:from>
      <xdr:col>2</xdr:col>
      <xdr:colOff>104775</xdr:colOff>
      <xdr:row>72</xdr:row>
      <xdr:rowOff>76200</xdr:rowOff>
    </xdr:from>
    <xdr:to>
      <xdr:col>3</xdr:col>
      <xdr:colOff>2543175</xdr:colOff>
      <xdr:row>76</xdr:row>
      <xdr:rowOff>152400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362200" y="19431000"/>
          <a:ext cx="2781300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……………………….........
(นางสาวสุรีย์  พิมพ์ปรุ)
รองปลัดองค์การบริหารส่วนตำบล  รักษาการแทน
ปลัดองค์การบริหารส่วนตำบล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123825</xdr:colOff>
      <xdr:row>72</xdr:row>
      <xdr:rowOff>66675</xdr:rowOff>
    </xdr:from>
    <xdr:to>
      <xdr:col>3</xdr:col>
      <xdr:colOff>104775</xdr:colOff>
      <xdr:row>75</xdr:row>
      <xdr:rowOff>85725</xdr:rowOff>
    </xdr:to>
    <xdr:sp>
      <xdr:nvSpPr>
        <xdr:cNvPr id="6" name="TextBox 12"/>
        <xdr:cNvSpPr txBox="1">
          <a:spLocks noChangeArrowheads="1"/>
        </xdr:cNvSpPr>
      </xdr:nvSpPr>
      <xdr:spPr>
        <a:xfrm>
          <a:off x="123825" y="19421475"/>
          <a:ext cx="25812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………………………….
(นางปริณดา  รุ่งเรือง)
 ผู้อำนวยการกองคลัง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3</xdr:col>
      <xdr:colOff>2057400</xdr:colOff>
      <xdr:row>72</xdr:row>
      <xdr:rowOff>66675</xdr:rowOff>
    </xdr:from>
    <xdr:to>
      <xdr:col>5</xdr:col>
      <xdr:colOff>1257300</xdr:colOff>
      <xdr:row>75</xdr:row>
      <xdr:rowOff>257175</xdr:rowOff>
    </xdr:to>
    <xdr:sp>
      <xdr:nvSpPr>
        <xdr:cNvPr id="7" name="TextBox 14"/>
        <xdr:cNvSpPr txBox="1">
          <a:spLocks noChangeArrowheads="1"/>
        </xdr:cNvSpPr>
      </xdr:nvSpPr>
      <xdr:spPr>
        <a:xfrm>
          <a:off x="4657725" y="19421475"/>
          <a:ext cx="24384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(นายไพโรจน์   พึ่งทหาร)
นายกองค์การบริหารส่วนตำบล </a:t>
          </a:r>
        </a:p>
      </xdr:txBody>
    </xdr:sp>
    <xdr:clientData/>
  </xdr:twoCellAnchor>
  <xdr:twoCellAnchor>
    <xdr:from>
      <xdr:col>1</xdr:col>
      <xdr:colOff>1104900</xdr:colOff>
      <xdr:row>34</xdr:row>
      <xdr:rowOff>247650</xdr:rowOff>
    </xdr:from>
    <xdr:to>
      <xdr:col>3</xdr:col>
      <xdr:colOff>2324100</xdr:colOff>
      <xdr:row>39</xdr:row>
      <xdr:rowOff>0</xdr:rowOff>
    </xdr:to>
    <xdr:sp>
      <xdr:nvSpPr>
        <xdr:cNvPr id="8" name="TextBox 15"/>
        <xdr:cNvSpPr txBox="1">
          <a:spLocks noChangeArrowheads="1"/>
        </xdr:cNvSpPr>
      </xdr:nvSpPr>
      <xdr:spPr>
        <a:xfrm>
          <a:off x="2143125" y="9382125"/>
          <a:ext cx="2781300" cy="1095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……………………….........
(นางสาวสุรีย์  พิมพ์ปรุ)
รองปลัดองค์การบริหารส่วนตำบล  รักษาการแทน
ปลัดองค์การบริหารส่วนตำบล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workbookViewId="0" topLeftCell="A1">
      <selection activeCell="I13" sqref="I13"/>
    </sheetView>
  </sheetViews>
  <sheetFormatPr defaultColWidth="9.140625" defaultRowHeight="21.75"/>
  <cols>
    <col min="1" max="1" width="5.57421875" style="0" customWidth="1"/>
    <col min="2" max="2" width="28.8515625" style="0" customWidth="1"/>
    <col min="3" max="3" width="18.140625" style="0" customWidth="1"/>
    <col min="4" max="4" width="8.7109375" style="0" customWidth="1"/>
    <col min="5" max="5" width="18.140625" style="0" customWidth="1"/>
  </cols>
  <sheetData>
    <row r="1" spans="1:5" ht="21.75">
      <c r="A1" s="61" t="s">
        <v>0</v>
      </c>
      <c r="B1" s="61"/>
      <c r="C1" s="61"/>
      <c r="D1" s="61"/>
      <c r="E1" s="61"/>
    </row>
    <row r="2" spans="1:5" ht="21.75">
      <c r="A2" s="61" t="s">
        <v>80</v>
      </c>
      <c r="B2" s="61"/>
      <c r="C2" s="61"/>
      <c r="D2" s="61"/>
      <c r="E2" s="61"/>
    </row>
    <row r="3" spans="1:5" ht="21.75">
      <c r="A3" s="61" t="s">
        <v>103</v>
      </c>
      <c r="B3" s="61"/>
      <c r="C3" s="61"/>
      <c r="D3" s="61"/>
      <c r="E3" s="61"/>
    </row>
    <row r="5" spans="1:5" ht="21.75">
      <c r="A5" s="2" t="s">
        <v>53</v>
      </c>
      <c r="C5" s="3" t="s">
        <v>5</v>
      </c>
      <c r="D5" s="3"/>
      <c r="E5" s="3" t="s">
        <v>81</v>
      </c>
    </row>
    <row r="6" spans="2:5" ht="21.75">
      <c r="B6" t="s">
        <v>82</v>
      </c>
      <c r="C6" s="4">
        <f>3169144.2-C9</f>
        <v>2047344.2000000002</v>
      </c>
      <c r="D6" s="4"/>
      <c r="E6" s="4">
        <f>2103297.27+1687955.21</f>
        <v>3791252.48</v>
      </c>
    </row>
    <row r="7" spans="2:5" ht="21.75">
      <c r="B7" t="s">
        <v>83</v>
      </c>
      <c r="C7" s="4">
        <f>275.4+10207.87</f>
        <v>10483.27</v>
      </c>
      <c r="D7" s="4"/>
      <c r="E7" s="4">
        <f>647532.52+2428992.17</f>
        <v>3076524.69</v>
      </c>
    </row>
    <row r="8" spans="2:5" ht="21.75">
      <c r="B8" t="s">
        <v>84</v>
      </c>
      <c r="C8" s="4">
        <v>0</v>
      </c>
      <c r="D8" s="4"/>
      <c r="E8" s="4">
        <f>3459300</f>
        <v>3459300</v>
      </c>
    </row>
    <row r="9" spans="2:5" ht="21.75">
      <c r="B9" t="s">
        <v>85</v>
      </c>
      <c r="C9" s="4">
        <f>451780+670020</f>
        <v>1121800</v>
      </c>
      <c r="D9" s="4"/>
      <c r="E9" s="4">
        <v>2303525</v>
      </c>
    </row>
    <row r="10" spans="2:5" ht="22.5" thickBot="1">
      <c r="B10" s="3" t="s">
        <v>51</v>
      </c>
      <c r="C10" s="5">
        <f>SUM(C6:C9)</f>
        <v>3179627.47</v>
      </c>
      <c r="D10" s="4"/>
      <c r="E10" s="5">
        <f>SUM(E6:E9)</f>
        <v>12630602.17</v>
      </c>
    </row>
    <row r="11" spans="1:5" ht="22.5" thickTop="1">
      <c r="A11" s="2" t="s">
        <v>25</v>
      </c>
      <c r="C11" s="4"/>
      <c r="D11" s="4"/>
      <c r="E11" s="4"/>
    </row>
    <row r="12" spans="2:5" ht="21.75">
      <c r="B12" t="s">
        <v>86</v>
      </c>
      <c r="C12" s="4">
        <f>296782+455473.53+241920+231440.25+287117+149061.6+25086.71+1500</f>
        <v>1688381.09</v>
      </c>
      <c r="D12" s="4"/>
      <c r="E12" s="4">
        <f>1196326.11+2085756.85</f>
        <v>3282082.96</v>
      </c>
    </row>
    <row r="13" spans="2:5" ht="21.75">
      <c r="B13" t="s">
        <v>87</v>
      </c>
      <c r="C13" s="4">
        <f>9541.7+2568410+100000</f>
        <v>2677951.7</v>
      </c>
      <c r="D13" s="4"/>
      <c r="E13" s="4">
        <f>135368.22+65586.28</f>
        <v>200954.5</v>
      </c>
    </row>
    <row r="14" spans="2:5" ht="21.75">
      <c r="B14" t="s">
        <v>88</v>
      </c>
      <c r="C14" s="4">
        <v>735400</v>
      </c>
      <c r="D14" s="4"/>
      <c r="E14" s="4">
        <f>139000+877498</f>
        <v>1016498</v>
      </c>
    </row>
    <row r="15" spans="2:5" ht="21.75">
      <c r="B15" t="s">
        <v>90</v>
      </c>
      <c r="C15" s="4">
        <f>1793500+88500+895500-1000</f>
        <v>2776500</v>
      </c>
      <c r="D15" s="4"/>
      <c r="E15" s="4">
        <f>247500</f>
        <v>247500</v>
      </c>
    </row>
    <row r="16" spans="2:5" ht="22.5" thickBot="1">
      <c r="B16" s="3" t="s">
        <v>51</v>
      </c>
      <c r="C16" s="5">
        <f>SUM(C12:C15)</f>
        <v>7878232.79</v>
      </c>
      <c r="D16" s="4"/>
      <c r="E16" s="5">
        <f>SUM(E12:E15)</f>
        <v>4747035.46</v>
      </c>
    </row>
    <row r="17" spans="2:5" ht="22.5" thickTop="1">
      <c r="B17" s="1"/>
      <c r="C17" s="7"/>
      <c r="D17" s="4"/>
      <c r="E17" s="7"/>
    </row>
    <row r="18" spans="2:5" ht="22.5" thickBot="1">
      <c r="B18" s="3" t="s">
        <v>89</v>
      </c>
      <c r="C18" s="6">
        <f>C10-C16</f>
        <v>-4698605.32</v>
      </c>
      <c r="D18" s="4"/>
      <c r="E18" s="6">
        <f>E10-E16</f>
        <v>7883566.71</v>
      </c>
    </row>
    <row r="19" spans="2:5" ht="22.5" thickTop="1">
      <c r="B19" s="1"/>
      <c r="C19" s="7"/>
      <c r="D19" s="4"/>
      <c r="E19" s="7"/>
    </row>
    <row r="20" spans="2:5" ht="21.75">
      <c r="B20" s="1"/>
      <c r="C20" s="7"/>
      <c r="D20" s="4"/>
      <c r="E20" s="7"/>
    </row>
    <row r="22" spans="1:6" ht="21.75">
      <c r="A22" s="62" t="s">
        <v>91</v>
      </c>
      <c r="B22" s="62"/>
      <c r="C22" s="62"/>
      <c r="D22" s="62"/>
      <c r="E22" s="62"/>
      <c r="F22" s="62"/>
    </row>
    <row r="23" spans="1:6" ht="21.75">
      <c r="A23" s="62" t="s">
        <v>72</v>
      </c>
      <c r="B23" s="62"/>
      <c r="C23" s="62"/>
      <c r="D23" s="62"/>
      <c r="E23" s="62"/>
      <c r="F23" s="62"/>
    </row>
    <row r="24" spans="1:6" ht="21.75">
      <c r="A24" s="62" t="s">
        <v>73</v>
      </c>
      <c r="B24" s="62"/>
      <c r="C24" s="62"/>
      <c r="D24" s="62"/>
      <c r="E24" s="62"/>
      <c r="F24" s="62"/>
    </row>
    <row r="26" spans="1:6" ht="21.75">
      <c r="A26" s="62" t="s">
        <v>92</v>
      </c>
      <c r="B26" s="62"/>
      <c r="C26" s="62"/>
      <c r="D26" s="62"/>
      <c r="E26" s="62"/>
      <c r="F26" s="62"/>
    </row>
    <row r="27" spans="1:6" ht="21.75">
      <c r="A27" s="62" t="s">
        <v>71</v>
      </c>
      <c r="B27" s="62"/>
      <c r="C27" s="62"/>
      <c r="D27" s="62"/>
      <c r="E27" s="62"/>
      <c r="F27" s="62"/>
    </row>
    <row r="28" spans="1:6" ht="21.75">
      <c r="A28" s="62" t="s">
        <v>93</v>
      </c>
      <c r="B28" s="62"/>
      <c r="C28" s="62"/>
      <c r="D28" s="62"/>
      <c r="E28" s="62"/>
      <c r="F28" s="62"/>
    </row>
    <row r="29" spans="1:6" ht="21.75">
      <c r="A29" s="62" t="s">
        <v>79</v>
      </c>
      <c r="B29" s="62"/>
      <c r="C29" s="62"/>
      <c r="D29" s="62"/>
      <c r="E29" s="62"/>
      <c r="F29" s="62"/>
    </row>
    <row r="31" spans="1:6" ht="21.75">
      <c r="A31" s="62" t="s">
        <v>92</v>
      </c>
      <c r="B31" s="62"/>
      <c r="C31" s="62"/>
      <c r="D31" s="62"/>
      <c r="E31" s="62"/>
      <c r="F31" s="62"/>
    </row>
    <row r="32" spans="1:6" ht="21.75">
      <c r="A32" s="62" t="s">
        <v>65</v>
      </c>
      <c r="B32" s="62"/>
      <c r="C32" s="62"/>
      <c r="D32" s="62"/>
      <c r="E32" s="62"/>
      <c r="F32" s="62"/>
    </row>
    <row r="33" spans="1:6" ht="21.75">
      <c r="A33" s="62" t="s">
        <v>57</v>
      </c>
      <c r="B33" s="62"/>
      <c r="C33" s="62"/>
      <c r="D33" s="62"/>
      <c r="E33" s="62"/>
      <c r="F33" s="62"/>
    </row>
  </sheetData>
  <mergeCells count="13">
    <mergeCell ref="A33:F33"/>
    <mergeCell ref="A28:F28"/>
    <mergeCell ref="A29:F29"/>
    <mergeCell ref="A31:F31"/>
    <mergeCell ref="A32:F32"/>
    <mergeCell ref="A23:F23"/>
    <mergeCell ref="A24:F24"/>
    <mergeCell ref="A26:F26"/>
    <mergeCell ref="A27:F27"/>
    <mergeCell ref="A1:E1"/>
    <mergeCell ref="A2:E2"/>
    <mergeCell ref="A3:E3"/>
    <mergeCell ref="A22:F2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workbookViewId="0" topLeftCell="A1">
      <selection activeCell="D33" sqref="D33"/>
    </sheetView>
  </sheetViews>
  <sheetFormatPr defaultColWidth="9.140625" defaultRowHeight="21.75"/>
  <cols>
    <col min="1" max="1" width="15.57421875" style="11" customWidth="1"/>
    <col min="2" max="2" width="18.28125" style="11" customWidth="1"/>
    <col min="3" max="3" width="5.140625" style="11" customWidth="1"/>
    <col min="4" max="4" width="40.7109375" style="11" customWidth="1"/>
    <col min="5" max="5" width="7.8515625" style="11" customWidth="1"/>
    <col min="6" max="6" width="19.8515625" style="11" customWidth="1"/>
    <col min="7" max="7" width="5.421875" style="11" customWidth="1"/>
    <col min="8" max="8" width="16.8515625" style="11" customWidth="1"/>
    <col min="9" max="9" width="12.421875" style="11" customWidth="1"/>
    <col min="10" max="10" width="12.57421875" style="11" customWidth="1"/>
    <col min="11" max="11" width="12.421875" style="11" customWidth="1"/>
    <col min="12" max="16384" width="9.140625" style="11" customWidth="1"/>
  </cols>
  <sheetData>
    <row r="1" ht="21">
      <c r="A1" s="10" t="s">
        <v>0</v>
      </c>
    </row>
    <row r="2" ht="21">
      <c r="A2" s="10" t="s">
        <v>99</v>
      </c>
    </row>
    <row r="3" spans="4:5" ht="21">
      <c r="D3" s="56" t="s">
        <v>16</v>
      </c>
      <c r="E3" s="11" t="s">
        <v>74</v>
      </c>
    </row>
    <row r="4" ht="21">
      <c r="D4" s="11" t="s">
        <v>104</v>
      </c>
    </row>
    <row r="5" spans="1:6" ht="21">
      <c r="A5" s="67" t="s">
        <v>1</v>
      </c>
      <c r="B5" s="67"/>
      <c r="C5" s="13"/>
      <c r="D5" s="14"/>
      <c r="E5" s="15" t="s">
        <v>3</v>
      </c>
      <c r="F5" s="12" t="s">
        <v>5</v>
      </c>
    </row>
    <row r="6" spans="1:6" s="17" customFormat="1" ht="21">
      <c r="A6" s="15" t="s">
        <v>101</v>
      </c>
      <c r="B6" s="15" t="s">
        <v>102</v>
      </c>
      <c r="C6" s="68" t="s">
        <v>2</v>
      </c>
      <c r="D6" s="69"/>
      <c r="E6" s="16" t="s">
        <v>4</v>
      </c>
      <c r="F6" s="15" t="s">
        <v>102</v>
      </c>
    </row>
    <row r="7" spans="1:6" ht="21.75" thickBot="1">
      <c r="A7" s="18"/>
      <c r="B7" s="19">
        <v>56126176.27</v>
      </c>
      <c r="C7" s="24" t="s">
        <v>6</v>
      </c>
      <c r="E7" s="20"/>
      <c r="F7" s="21">
        <v>59813847.13</v>
      </c>
    </row>
    <row r="8" spans="1:6" ht="21.75" thickTop="1">
      <c r="A8" s="22"/>
      <c r="B8" s="23"/>
      <c r="C8" s="57" t="s">
        <v>53</v>
      </c>
      <c r="D8" s="36"/>
      <c r="E8" s="24"/>
      <c r="F8" s="25"/>
    </row>
    <row r="9" spans="1:6" ht="21">
      <c r="A9" s="22">
        <v>1208000</v>
      </c>
      <c r="B9" s="22">
        <f>693.45</f>
        <v>693.45</v>
      </c>
      <c r="C9" s="23"/>
      <c r="D9" s="26" t="s">
        <v>7</v>
      </c>
      <c r="E9" s="27" t="s">
        <v>17</v>
      </c>
      <c r="F9" s="25">
        <v>0</v>
      </c>
    </row>
    <row r="10" spans="1:6" ht="21">
      <c r="A10" s="22">
        <v>923400</v>
      </c>
      <c r="B10" s="22">
        <f>63866.3+124683+69758.6</f>
        <v>258307.9</v>
      </c>
      <c r="C10" s="23"/>
      <c r="D10" s="26" t="s">
        <v>8</v>
      </c>
      <c r="E10" s="27" t="s">
        <v>24</v>
      </c>
      <c r="F10" s="25">
        <f>2478.6+65930+1000+170+180</f>
        <v>69758.6</v>
      </c>
    </row>
    <row r="11" spans="1:6" ht="21">
      <c r="A11" s="22">
        <v>185000</v>
      </c>
      <c r="B11" s="22">
        <v>0</v>
      </c>
      <c r="C11" s="23"/>
      <c r="D11" s="26" t="s">
        <v>9</v>
      </c>
      <c r="E11" s="27" t="s">
        <v>18</v>
      </c>
      <c r="F11" s="25">
        <v>0</v>
      </c>
    </row>
    <row r="12" spans="1:6" ht="21">
      <c r="A12" s="22">
        <v>0</v>
      </c>
      <c r="B12" s="22">
        <v>0</v>
      </c>
      <c r="C12" s="23"/>
      <c r="D12" s="26" t="s">
        <v>10</v>
      </c>
      <c r="E12" s="27" t="s">
        <v>19</v>
      </c>
      <c r="F12" s="25"/>
    </row>
    <row r="13" spans="1:6" ht="21">
      <c r="A13" s="22">
        <v>141000</v>
      </c>
      <c r="B13" s="22">
        <f>42910+71100</f>
        <v>114010</v>
      </c>
      <c r="C13" s="23"/>
      <c r="D13" s="26" t="s">
        <v>11</v>
      </c>
      <c r="E13" s="27" t="s">
        <v>20</v>
      </c>
      <c r="F13" s="25">
        <v>0</v>
      </c>
    </row>
    <row r="14" spans="1:6" ht="21">
      <c r="A14" s="22">
        <v>0</v>
      </c>
      <c r="B14" s="22">
        <v>0</v>
      </c>
      <c r="C14" s="23"/>
      <c r="D14" s="26" t="s">
        <v>12</v>
      </c>
      <c r="E14" s="27" t="s">
        <v>21</v>
      </c>
      <c r="F14" s="25"/>
    </row>
    <row r="15" spans="1:6" ht="21">
      <c r="A15" s="28">
        <v>24545000</v>
      </c>
      <c r="B15" s="22">
        <f>1996520.97+1491478.76+1977585.6</f>
        <v>5465585.33</v>
      </c>
      <c r="C15" s="23"/>
      <c r="D15" s="26" t="s">
        <v>13</v>
      </c>
      <c r="E15" s="27" t="s">
        <v>22</v>
      </c>
      <c r="F15" s="25">
        <f>432983.44+371207.71+46070.32+209708.83+341403.3+576212</f>
        <v>1977585.6</v>
      </c>
    </row>
    <row r="16" spans="1:6" ht="21">
      <c r="A16" s="22">
        <v>12000000</v>
      </c>
      <c r="B16" s="22">
        <f>2303525+1121800</f>
        <v>3425325</v>
      </c>
      <c r="C16" s="23"/>
      <c r="D16" s="26" t="s">
        <v>76</v>
      </c>
      <c r="E16" s="27" t="s">
        <v>23</v>
      </c>
      <c r="F16" s="25">
        <f>451780+670020</f>
        <v>1121800</v>
      </c>
    </row>
    <row r="17" spans="1:8" ht="21.75" thickBot="1">
      <c r="A17" s="29">
        <f>SUM(A9:A16)</f>
        <v>39002400</v>
      </c>
      <c r="B17" s="29">
        <f>SUM(B9:B16)</f>
        <v>9263921.68</v>
      </c>
      <c r="C17" s="23"/>
      <c r="D17" s="8" t="s">
        <v>15</v>
      </c>
      <c r="E17" s="24"/>
      <c r="F17" s="21">
        <f>SUM(F9:F16)</f>
        <v>3169144.2</v>
      </c>
      <c r="H17" s="30"/>
    </row>
    <row r="18" spans="1:8" ht="21.75" thickTop="1">
      <c r="A18" s="31"/>
      <c r="B18" s="22">
        <f>3124800</f>
        <v>3124800</v>
      </c>
      <c r="C18" s="23"/>
      <c r="D18" s="26" t="s">
        <v>68</v>
      </c>
      <c r="E18" s="24"/>
      <c r="F18" s="25"/>
      <c r="H18" s="30"/>
    </row>
    <row r="19" spans="1:8" ht="21">
      <c r="A19" s="31"/>
      <c r="B19" s="22">
        <f>334500</f>
        <v>334500</v>
      </c>
      <c r="C19" s="23"/>
      <c r="D19" s="26" t="s">
        <v>69</v>
      </c>
      <c r="E19" s="24"/>
      <c r="F19" s="25"/>
      <c r="H19" s="30"/>
    </row>
    <row r="20" spans="1:8" ht="21">
      <c r="A20" s="31"/>
      <c r="B20" s="22">
        <v>0</v>
      </c>
      <c r="C20" s="23"/>
      <c r="D20" s="26" t="s">
        <v>94</v>
      </c>
      <c r="E20" s="24"/>
      <c r="F20" s="25">
        <v>0</v>
      </c>
      <c r="H20" s="30"/>
    </row>
    <row r="21" spans="1:8" ht="21">
      <c r="A21" s="31"/>
      <c r="B21" s="32">
        <f>SUM(B18:B20)</f>
        <v>3459300</v>
      </c>
      <c r="C21" s="23"/>
      <c r="D21" s="8" t="s">
        <v>75</v>
      </c>
      <c r="E21" s="24"/>
      <c r="F21" s="32">
        <f>SUM(F18:F20)</f>
        <v>0</v>
      </c>
      <c r="H21" s="30"/>
    </row>
    <row r="22" spans="1:8" ht="21.75" thickBot="1">
      <c r="A22" s="31"/>
      <c r="B22" s="21">
        <f>B17+B21</f>
        <v>12723221.68</v>
      </c>
      <c r="C22" s="33" t="s">
        <v>67</v>
      </c>
      <c r="D22" s="26"/>
      <c r="E22" s="24"/>
      <c r="F22" s="21">
        <f>F17+F21</f>
        <v>3169144.2</v>
      </c>
      <c r="H22" s="30"/>
    </row>
    <row r="23" spans="1:6" ht="21.75" thickTop="1">
      <c r="A23" s="31"/>
      <c r="B23" s="22">
        <f>647532.52+2428992.17+10483.27</f>
        <v>3087007.96</v>
      </c>
      <c r="C23" s="23"/>
      <c r="D23" s="26" t="s">
        <v>48</v>
      </c>
      <c r="E23" s="27"/>
      <c r="F23" s="25">
        <v>10483.27</v>
      </c>
    </row>
    <row r="24" spans="1:6" ht="21">
      <c r="A24" s="31"/>
      <c r="B24" s="22">
        <f>695+23299+25372</f>
        <v>49366</v>
      </c>
      <c r="C24" s="23"/>
      <c r="D24" s="26" t="s">
        <v>60</v>
      </c>
      <c r="E24" s="27"/>
      <c r="F24" s="25">
        <f>14070+11302</f>
        <v>25372</v>
      </c>
    </row>
    <row r="25" spans="1:6" ht="21">
      <c r="A25" s="31"/>
      <c r="B25" s="22">
        <v>172.6</v>
      </c>
      <c r="C25" s="23"/>
      <c r="D25" s="36" t="s">
        <v>61</v>
      </c>
      <c r="E25" s="27"/>
      <c r="F25" s="25">
        <v>0</v>
      </c>
    </row>
    <row r="26" spans="1:6" ht="21">
      <c r="A26" s="31"/>
      <c r="B26" s="22">
        <f>10000</f>
        <v>10000</v>
      </c>
      <c r="C26" s="23"/>
      <c r="D26" s="26" t="s">
        <v>44</v>
      </c>
      <c r="E26" s="27"/>
      <c r="F26" s="25">
        <v>0</v>
      </c>
    </row>
    <row r="27" spans="1:6" ht="21">
      <c r="A27" s="31"/>
      <c r="B27" s="22">
        <f>6750</f>
        <v>6750</v>
      </c>
      <c r="C27" s="23"/>
      <c r="D27" s="26" t="s">
        <v>97</v>
      </c>
      <c r="E27" s="27"/>
      <c r="F27" s="25"/>
    </row>
    <row r="28" spans="1:6" ht="21">
      <c r="A28" s="31"/>
      <c r="B28" s="22">
        <f>106.75</f>
        <v>106.75</v>
      </c>
      <c r="C28" s="23"/>
      <c r="D28" s="26" t="s">
        <v>63</v>
      </c>
      <c r="E28" s="27"/>
      <c r="F28" s="25"/>
    </row>
    <row r="29" spans="1:6" ht="21">
      <c r="A29" s="31"/>
      <c r="B29" s="22">
        <f>7500+34960+1500</f>
        <v>43960</v>
      </c>
      <c r="C29" s="23"/>
      <c r="D29" s="26" t="s">
        <v>95</v>
      </c>
      <c r="E29" s="27"/>
      <c r="F29" s="25">
        <v>1500</v>
      </c>
    </row>
    <row r="30" spans="1:6" ht="21">
      <c r="A30" s="31"/>
      <c r="B30" s="22">
        <f>4000+249500+1793500</f>
        <v>2047000</v>
      </c>
      <c r="C30" s="23"/>
      <c r="D30" s="26" t="s">
        <v>96</v>
      </c>
      <c r="E30" s="27"/>
      <c r="F30" s="25">
        <v>1793500</v>
      </c>
    </row>
    <row r="31" spans="1:6" ht="21">
      <c r="A31" s="31"/>
      <c r="B31" s="23">
        <v>19083.8</v>
      </c>
      <c r="C31" s="23"/>
      <c r="D31" s="26" t="s">
        <v>98</v>
      </c>
      <c r="E31" s="27"/>
      <c r="F31" s="25"/>
    </row>
    <row r="32" spans="1:6" ht="21">
      <c r="A32" s="31"/>
      <c r="B32" s="32">
        <f>SUM(B23:B31)</f>
        <v>5263447.11</v>
      </c>
      <c r="C32" s="23"/>
      <c r="D32" s="8" t="s">
        <v>46</v>
      </c>
      <c r="E32" s="27"/>
      <c r="F32" s="32">
        <f>SUM(F23:F31)</f>
        <v>1830855.27</v>
      </c>
    </row>
    <row r="33" spans="1:6" ht="21">
      <c r="A33" s="31"/>
      <c r="B33" s="22"/>
      <c r="C33" s="23"/>
      <c r="D33" s="26"/>
      <c r="E33" s="27"/>
      <c r="F33" s="25"/>
    </row>
    <row r="34" spans="1:6" ht="21.75" thickBot="1">
      <c r="A34" s="31"/>
      <c r="B34" s="21">
        <f>B22+B32</f>
        <v>17986668.79</v>
      </c>
      <c r="C34" s="23"/>
      <c r="D34" s="8" t="s">
        <v>47</v>
      </c>
      <c r="E34" s="34"/>
      <c r="F34" s="21">
        <f>F22+F32</f>
        <v>4999999.470000001</v>
      </c>
    </row>
    <row r="35" spans="1:6" ht="21.75" thickTop="1">
      <c r="A35" s="31"/>
      <c r="B35" s="31"/>
      <c r="C35" s="31"/>
      <c r="D35" s="9"/>
      <c r="E35" s="36"/>
      <c r="F35" s="31"/>
    </row>
    <row r="36" spans="1:6" ht="21">
      <c r="A36" s="31"/>
      <c r="B36" s="31"/>
      <c r="C36" s="31"/>
      <c r="D36" s="35"/>
      <c r="E36" s="36"/>
      <c r="F36" s="31"/>
    </row>
    <row r="37" spans="1:6" ht="21">
      <c r="A37" s="31"/>
      <c r="B37" s="31"/>
      <c r="C37" s="31"/>
      <c r="D37" s="35"/>
      <c r="E37" s="36"/>
      <c r="F37" s="31"/>
    </row>
    <row r="38" spans="1:6" ht="21">
      <c r="A38" s="31"/>
      <c r="B38" s="31"/>
      <c r="C38" s="31"/>
      <c r="D38" s="35"/>
      <c r="E38" s="36"/>
      <c r="F38" s="31"/>
    </row>
    <row r="39" spans="1:7" ht="21">
      <c r="A39" s="31"/>
      <c r="B39" s="31"/>
      <c r="C39" s="31"/>
      <c r="D39" s="35"/>
      <c r="E39" s="36"/>
      <c r="F39" s="31"/>
      <c r="G39" s="36"/>
    </row>
    <row r="40" spans="1:10" ht="21">
      <c r="A40" s="37"/>
      <c r="B40" s="37"/>
      <c r="C40" s="38" t="s">
        <v>25</v>
      </c>
      <c r="D40" s="14"/>
      <c r="E40" s="39"/>
      <c r="F40" s="37"/>
      <c r="H40" s="17"/>
      <c r="I40" s="40"/>
      <c r="J40" s="40"/>
    </row>
    <row r="41" spans="1:10" ht="21">
      <c r="A41" s="25">
        <v>6169464</v>
      </c>
      <c r="B41" s="25">
        <f>1500+58763+298282</f>
        <v>358545</v>
      </c>
      <c r="C41" s="41"/>
      <c r="D41" s="26" t="s">
        <v>26</v>
      </c>
      <c r="E41" s="27" t="s">
        <v>59</v>
      </c>
      <c r="F41" s="25">
        <f>296782+1500</f>
        <v>298282</v>
      </c>
      <c r="H41" s="30"/>
      <c r="I41" s="40"/>
      <c r="J41" s="40"/>
    </row>
    <row r="42" spans="1:11" ht="21">
      <c r="A42" s="25">
        <v>6530630</v>
      </c>
      <c r="B42" s="25">
        <f>488807.09+468314.51+455473.53</f>
        <v>1412595.1300000001</v>
      </c>
      <c r="C42" s="41"/>
      <c r="D42" s="26" t="s">
        <v>27</v>
      </c>
      <c r="E42" s="27">
        <v>100</v>
      </c>
      <c r="F42" s="25">
        <v>455473.53</v>
      </c>
      <c r="H42" s="30"/>
      <c r="I42" s="40"/>
      <c r="J42" s="40"/>
      <c r="K42" s="42" t="s">
        <v>64</v>
      </c>
    </row>
    <row r="43" spans="1:11" ht="21">
      <c r="A43" s="25">
        <v>3670580</v>
      </c>
      <c r="B43" s="25">
        <f>295740+246760+241920</f>
        <v>784420</v>
      </c>
      <c r="C43" s="41"/>
      <c r="D43" s="26" t="s">
        <v>58</v>
      </c>
      <c r="E43" s="27" t="s">
        <v>52</v>
      </c>
      <c r="F43" s="25">
        <v>241920</v>
      </c>
      <c r="H43" s="30"/>
      <c r="I43" s="40"/>
      <c r="J43" s="40"/>
      <c r="K43" s="42"/>
    </row>
    <row r="44" spans="1:11" ht="21">
      <c r="A44" s="43">
        <v>3844400</v>
      </c>
      <c r="B44" s="25">
        <f>392807+223511.75+231440.25</f>
        <v>847759</v>
      </c>
      <c r="C44" s="41"/>
      <c r="D44" s="26" t="s">
        <v>28</v>
      </c>
      <c r="E44" s="27" t="s">
        <v>37</v>
      </c>
      <c r="F44" s="25">
        <v>231440.25</v>
      </c>
      <c r="H44" s="30"/>
      <c r="I44" s="40"/>
      <c r="J44" s="40"/>
      <c r="K44" s="42" t="s">
        <v>64</v>
      </c>
    </row>
    <row r="45" spans="1:11" ht="21">
      <c r="A45" s="43">
        <v>8936200</v>
      </c>
      <c r="B45" s="43">
        <f>13486+125441.4+287117</f>
        <v>426044.4</v>
      </c>
      <c r="C45" s="41"/>
      <c r="D45" s="26" t="s">
        <v>29</v>
      </c>
      <c r="E45" s="27" t="s">
        <v>38</v>
      </c>
      <c r="F45" s="25">
        <v>287117</v>
      </c>
      <c r="H45" s="44"/>
      <c r="I45" s="40"/>
      <c r="J45" s="40"/>
      <c r="K45" s="42"/>
    </row>
    <row r="46" spans="1:11" ht="21">
      <c r="A46" s="43">
        <v>4410303</v>
      </c>
      <c r="B46" s="43">
        <f>91338.75+149061.6</f>
        <v>240400.35</v>
      </c>
      <c r="C46" s="41"/>
      <c r="D46" s="26" t="s">
        <v>30</v>
      </c>
      <c r="E46" s="27" t="s">
        <v>39</v>
      </c>
      <c r="F46" s="25">
        <v>149061.6</v>
      </c>
      <c r="H46" s="44"/>
      <c r="I46" s="40"/>
      <c r="J46" s="40"/>
      <c r="K46" s="42"/>
    </row>
    <row r="47" spans="1:11" ht="21">
      <c r="A47" s="25">
        <v>468000</v>
      </c>
      <c r="B47" s="43">
        <f>3986.02+26627.44+25086.71</f>
        <v>55700.17</v>
      </c>
      <c r="C47" s="41"/>
      <c r="D47" s="26" t="s">
        <v>31</v>
      </c>
      <c r="E47" s="27" t="s">
        <v>40</v>
      </c>
      <c r="F47" s="25">
        <v>25086.71</v>
      </c>
      <c r="H47" s="44"/>
      <c r="I47" s="40"/>
      <c r="J47" s="40"/>
      <c r="K47" s="42"/>
    </row>
    <row r="48" spans="1:11" ht="21">
      <c r="A48" s="25">
        <v>2421123</v>
      </c>
      <c r="B48" s="25">
        <f>845000</f>
        <v>845000</v>
      </c>
      <c r="C48" s="41"/>
      <c r="D48" s="26" t="s">
        <v>14</v>
      </c>
      <c r="E48" s="27" t="s">
        <v>41</v>
      </c>
      <c r="F48" s="25">
        <v>0</v>
      </c>
      <c r="H48" s="44"/>
      <c r="I48" s="40"/>
      <c r="J48" s="40"/>
      <c r="K48" s="42"/>
    </row>
    <row r="49" spans="1:11" ht="21">
      <c r="A49" s="25">
        <v>171500</v>
      </c>
      <c r="B49" s="25">
        <v>0</v>
      </c>
      <c r="C49" s="41"/>
      <c r="D49" s="26" t="s">
        <v>32</v>
      </c>
      <c r="E49" s="27" t="s">
        <v>42</v>
      </c>
      <c r="F49" s="25">
        <v>0</v>
      </c>
      <c r="H49" s="44"/>
      <c r="I49" s="40"/>
      <c r="J49" s="40"/>
      <c r="K49" s="42"/>
    </row>
    <row r="50" spans="1:11" ht="21">
      <c r="A50" s="25">
        <v>2380200</v>
      </c>
      <c r="B50" s="25">
        <v>0</v>
      </c>
      <c r="C50" s="41"/>
      <c r="D50" s="26" t="s">
        <v>33</v>
      </c>
      <c r="E50" s="27" t="s">
        <v>43</v>
      </c>
      <c r="F50" s="25">
        <v>0</v>
      </c>
      <c r="H50" s="44"/>
      <c r="I50" s="40"/>
      <c r="J50" s="40"/>
      <c r="K50" s="42"/>
    </row>
    <row r="51" spans="1:11" ht="21.75" thickBot="1">
      <c r="A51" s="29">
        <f>SUM(A41:A50)</f>
        <v>39002400</v>
      </c>
      <c r="B51" s="21">
        <f>SUM(B41:B50)</f>
        <v>4970464.05</v>
      </c>
      <c r="C51" s="63" t="s">
        <v>34</v>
      </c>
      <c r="D51" s="64"/>
      <c r="E51" s="27"/>
      <c r="F51" s="21">
        <f>SUM(F41:F50)</f>
        <v>1688381.09</v>
      </c>
      <c r="H51" s="42"/>
      <c r="I51" s="40"/>
      <c r="J51" s="40"/>
      <c r="K51" s="42"/>
    </row>
    <row r="52" spans="1:11" ht="21.75" thickTop="1">
      <c r="A52" s="31"/>
      <c r="B52" s="43">
        <f>2688000</f>
        <v>2688000</v>
      </c>
      <c r="C52" s="41"/>
      <c r="D52" s="26" t="s">
        <v>68</v>
      </c>
      <c r="E52" s="27"/>
      <c r="F52" s="25">
        <f>1793500+895500-1000</f>
        <v>2688000</v>
      </c>
      <c r="H52" s="42"/>
      <c r="I52" s="40"/>
      <c r="J52" s="40"/>
      <c r="K52" s="42"/>
    </row>
    <row r="53" spans="1:11" ht="21">
      <c r="A53" s="31"/>
      <c r="B53" s="43">
        <f>246000+88500</f>
        <v>334500</v>
      </c>
      <c r="C53" s="41"/>
      <c r="D53" s="26" t="s">
        <v>69</v>
      </c>
      <c r="E53" s="27"/>
      <c r="F53" s="25">
        <v>88500</v>
      </c>
      <c r="H53" s="42"/>
      <c r="I53" s="40"/>
      <c r="J53" s="40"/>
      <c r="K53" s="42"/>
    </row>
    <row r="54" spans="1:11" ht="21">
      <c r="A54" s="31"/>
      <c r="B54" s="58">
        <f>SUM(B52:B53)</f>
        <v>3022500</v>
      </c>
      <c r="C54" s="41"/>
      <c r="D54" s="8" t="s">
        <v>78</v>
      </c>
      <c r="E54" s="27"/>
      <c r="F54" s="32">
        <f>SUM(F52:F53)</f>
        <v>2776500</v>
      </c>
      <c r="H54" s="42"/>
      <c r="I54" s="40"/>
      <c r="J54" s="40"/>
      <c r="K54" s="42"/>
    </row>
    <row r="55" spans="1:11" ht="21.75" thickBot="1">
      <c r="A55" s="31"/>
      <c r="B55" s="21">
        <f>B51+B54</f>
        <v>7992964.05</v>
      </c>
      <c r="C55" s="45" t="s">
        <v>66</v>
      </c>
      <c r="D55" s="26"/>
      <c r="E55" s="27"/>
      <c r="F55" s="21">
        <f>F51+F54</f>
        <v>4464881.09</v>
      </c>
      <c r="H55" s="42"/>
      <c r="I55" s="40"/>
      <c r="J55" s="40"/>
      <c r="K55" s="42"/>
    </row>
    <row r="56" spans="1:10" ht="21.75" thickTop="1">
      <c r="A56" s="26"/>
      <c r="B56" s="46">
        <f>16404.22+2281.28+9541.7</f>
        <v>28227.2</v>
      </c>
      <c r="C56" s="41"/>
      <c r="D56" s="26" t="s">
        <v>45</v>
      </c>
      <c r="E56" s="27"/>
      <c r="F56" s="25">
        <v>9541.7</v>
      </c>
      <c r="H56" s="42"/>
      <c r="I56" s="40"/>
      <c r="J56" s="40"/>
    </row>
    <row r="57" spans="1:10" ht="21">
      <c r="A57" s="36"/>
      <c r="B57" s="46">
        <f>7500+94960+41700</f>
        <v>144160</v>
      </c>
      <c r="C57" s="36"/>
      <c r="D57" s="47" t="s">
        <v>77</v>
      </c>
      <c r="E57" s="27"/>
      <c r="F57" s="25">
        <v>41700</v>
      </c>
      <c r="H57" s="42"/>
      <c r="I57" s="40"/>
      <c r="J57" s="40"/>
    </row>
    <row r="58" spans="1:6" ht="21">
      <c r="A58" s="48"/>
      <c r="B58" s="46">
        <f>1060160+1055843+68870</f>
        <v>2184873</v>
      </c>
      <c r="C58" s="9"/>
      <c r="D58" s="47" t="s">
        <v>62</v>
      </c>
      <c r="E58" s="24"/>
      <c r="F58" s="49">
        <v>68870</v>
      </c>
    </row>
    <row r="59" spans="1:6" ht="21">
      <c r="A59" s="48"/>
      <c r="B59" s="46">
        <v>1635021.41</v>
      </c>
      <c r="C59" s="9"/>
      <c r="D59" s="47" t="s">
        <v>70</v>
      </c>
      <c r="E59" s="24"/>
      <c r="F59" s="49">
        <v>1635021.41</v>
      </c>
    </row>
    <row r="60" spans="1:6" ht="21">
      <c r="A60" s="48"/>
      <c r="B60" s="46">
        <f>2320000+15000+250666.36</f>
        <v>2585666.36</v>
      </c>
      <c r="C60" s="9"/>
      <c r="D60" s="47" t="s">
        <v>55</v>
      </c>
      <c r="E60" s="24"/>
      <c r="F60" s="49">
        <v>250666.36</v>
      </c>
    </row>
    <row r="61" spans="1:8" s="36" customFormat="1" ht="21">
      <c r="A61" s="48"/>
      <c r="B61" s="46">
        <f>139000+877498+735400</f>
        <v>1751898</v>
      </c>
      <c r="C61" s="9"/>
      <c r="D61" s="47" t="s">
        <v>54</v>
      </c>
      <c r="E61" s="24"/>
      <c r="F61" s="49">
        <v>735400</v>
      </c>
      <c r="H61" s="50"/>
    </row>
    <row r="62" spans="2:8" s="36" customFormat="1" ht="21">
      <c r="B62" s="46">
        <f>118964+63305+2668410</f>
        <v>2850679</v>
      </c>
      <c r="C62" s="9"/>
      <c r="D62" s="47" t="s">
        <v>56</v>
      </c>
      <c r="E62" s="24"/>
      <c r="F62" s="25">
        <f>2568410+100000</f>
        <v>2668410</v>
      </c>
      <c r="H62" s="51"/>
    </row>
    <row r="63" spans="1:6" s="36" customFormat="1" ht="21">
      <c r="A63" s="52"/>
      <c r="B63" s="53">
        <f>SUM(B56:B62)</f>
        <v>11180524.97</v>
      </c>
      <c r="C63" s="9"/>
      <c r="D63" s="9" t="s">
        <v>46</v>
      </c>
      <c r="E63" s="34"/>
      <c r="F63" s="32">
        <f>SUM(F56:F62)</f>
        <v>5409609.47</v>
      </c>
    </row>
    <row r="64" spans="1:8" ht="21.75" thickBot="1">
      <c r="A64" s="26"/>
      <c r="B64" s="21">
        <f>B55+B63</f>
        <v>19173489.02</v>
      </c>
      <c r="C64" s="63" t="s">
        <v>50</v>
      </c>
      <c r="D64" s="60"/>
      <c r="E64" s="64"/>
      <c r="F64" s="21">
        <f>F55+F63</f>
        <v>9874490.559999999</v>
      </c>
      <c r="H64" s="40"/>
    </row>
    <row r="65" spans="1:6" ht="21.75" thickTop="1">
      <c r="A65" s="54"/>
      <c r="B65" s="25"/>
      <c r="C65" s="65" t="s">
        <v>35</v>
      </c>
      <c r="D65" s="66"/>
      <c r="E65" s="26"/>
      <c r="F65" s="25"/>
    </row>
    <row r="66" spans="1:8" ht="21">
      <c r="A66" s="55"/>
      <c r="B66" s="25">
        <f>B34-B64</f>
        <v>-1186820.2300000004</v>
      </c>
      <c r="C66" s="65" t="s">
        <v>100</v>
      </c>
      <c r="D66" s="60"/>
      <c r="E66" s="26"/>
      <c r="F66" s="25">
        <f>F34-F64</f>
        <v>-4874491.089999998</v>
      </c>
      <c r="H66" s="42"/>
    </row>
    <row r="67" spans="1:6" ht="21">
      <c r="A67" s="26"/>
      <c r="B67" s="24"/>
      <c r="C67" s="63" t="s">
        <v>49</v>
      </c>
      <c r="D67" s="60"/>
      <c r="E67" s="26"/>
      <c r="F67" s="25"/>
    </row>
    <row r="68" spans="1:8" ht="21.75" thickBot="1">
      <c r="A68" s="26"/>
      <c r="B68" s="21">
        <f>B7+B34-B64</f>
        <v>54939356.04000001</v>
      </c>
      <c r="C68" s="63" t="s">
        <v>36</v>
      </c>
      <c r="D68" s="60"/>
      <c r="E68" s="26"/>
      <c r="F68" s="21">
        <f>F7+F34-F64</f>
        <v>54939356.04000001</v>
      </c>
      <c r="H68" s="30"/>
    </row>
    <row r="69" spans="1:8" ht="21.75" thickTop="1">
      <c r="A69" s="36"/>
      <c r="B69" s="31"/>
      <c r="C69" s="9"/>
      <c r="D69" s="9"/>
      <c r="E69" s="36"/>
      <c r="F69" s="59" t="e">
        <f>F68-F70</f>
        <v>#REF!</v>
      </c>
      <c r="H69" s="30"/>
    </row>
    <row r="70" spans="1:8" ht="21">
      <c r="A70" s="36"/>
      <c r="B70" s="31"/>
      <c r="C70" s="9"/>
      <c r="D70" s="9"/>
      <c r="E70" s="36"/>
      <c r="F70" s="31" t="e">
        <f>#REF!+#REF!</f>
        <v>#REF!</v>
      </c>
      <c r="H70" s="30"/>
    </row>
    <row r="71" spans="1:8" ht="21">
      <c r="A71" s="36"/>
      <c r="B71" s="31"/>
      <c r="C71" s="9"/>
      <c r="D71" s="9"/>
      <c r="E71" s="36"/>
      <c r="F71" s="31"/>
      <c r="H71" s="30"/>
    </row>
    <row r="72" spans="1:8" ht="21">
      <c r="A72" s="36"/>
      <c r="B72" s="31"/>
      <c r="C72" s="9"/>
      <c r="D72" s="9"/>
      <c r="E72" s="36"/>
      <c r="F72" s="31"/>
      <c r="H72" s="42"/>
    </row>
    <row r="73" spans="1:6" ht="21">
      <c r="A73" s="36"/>
      <c r="B73" s="31"/>
      <c r="C73" s="9"/>
      <c r="D73" s="9"/>
      <c r="E73" s="36"/>
      <c r="F73" s="31"/>
    </row>
    <row r="75" ht="21">
      <c r="H75" s="42"/>
    </row>
    <row r="94" ht="21">
      <c r="B94" s="40"/>
    </row>
    <row r="95" ht="21">
      <c r="B95" s="42"/>
    </row>
  </sheetData>
  <mergeCells count="8">
    <mergeCell ref="A5:B5"/>
    <mergeCell ref="C6:D6"/>
    <mergeCell ref="C51:D51"/>
    <mergeCell ref="C67:D67"/>
    <mergeCell ref="C68:D68"/>
    <mergeCell ref="C64:E64"/>
    <mergeCell ref="C65:D65"/>
    <mergeCell ref="C66:D66"/>
  </mergeCells>
  <printOptions/>
  <pageMargins left="0.41" right="0.31496062992125984" top="0.37" bottom="0.46" header="0.28" footer="0.4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HomeUser</cp:lastModifiedBy>
  <cp:lastPrinted>2011-12-28T09:05:16Z</cp:lastPrinted>
  <dcterms:created xsi:type="dcterms:W3CDTF">2004-11-04T11:07:14Z</dcterms:created>
  <dcterms:modified xsi:type="dcterms:W3CDTF">2012-09-06T08:06:37Z</dcterms:modified>
  <cp:category/>
  <cp:version/>
  <cp:contentType/>
  <cp:contentStatus/>
</cp:coreProperties>
</file>