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0" windowWidth="14835" windowHeight="8310" tabRatio="946" firstSheet="8" activeTab="16"/>
  </bookViews>
  <sheets>
    <sheet name="รับ-จ่าย" sheetId="1" r:id="rId1"/>
    <sheet name="โอนงบประมาณ" sheetId="2" r:id="rId2"/>
    <sheet name="หมายเหตุ1" sheetId="3" r:id="rId3"/>
    <sheet name="หมายเหตุ2 (โรงเรือน)" sheetId="4" r:id="rId4"/>
    <sheet name="หมายเหตุ2" sheetId="5" r:id="rId5"/>
    <sheet name="หมายเหตุ3" sheetId="6" r:id="rId6"/>
    <sheet name="หมายเหตุ" sheetId="7" r:id="rId7"/>
    <sheet name="หมายเหตุ4" sheetId="8" r:id="rId8"/>
    <sheet name="หมายเหตุ5" sheetId="9" r:id="rId9"/>
    <sheet name="หมายเหตุ7" sheetId="10" r:id="rId10"/>
    <sheet name="หมายเหตุ8" sheetId="11" r:id="rId11"/>
    <sheet name="งบทดลอง" sheetId="12" r:id="rId12"/>
    <sheet name="งบทดลองหลัง" sheetId="13" r:id="rId13"/>
    <sheet name="รับ-จ่ายปลายปี" sheetId="14" r:id="rId14"/>
    <sheet name="งบฐานะการเงิน" sheetId="15" r:id="rId15"/>
    <sheet name="งบทรัพย์สิน" sheetId="16" r:id="rId16"/>
    <sheet name="กระดาษทำการ" sheetId="17" r:id="rId17"/>
    <sheet name="กระดาษทำการกระทบยอด" sheetId="18" r:id="rId18"/>
    <sheet name="รับจ่ายจริง" sheetId="19" r:id="rId19"/>
  </sheets>
  <externalReferences>
    <externalReference r:id="rId22"/>
  </externalReferences>
  <definedNames>
    <definedName name="_xlnm.Print_Area" localSheetId="16">'กระดาษทำการ'!$A$1:$J$45</definedName>
    <definedName name="_xlnm.Print_Area" localSheetId="11">'งบทดลอง'!#REF!</definedName>
    <definedName name="_xlnm.Print_Area" localSheetId="12">'งบทดลองหลัง'!$A$1:$D$36</definedName>
    <definedName name="_xlnm.Print_Area" localSheetId="15">'งบทรัพย์สิน'!$A$1:$H$44</definedName>
    <definedName name="_xlnm.Print_Area" localSheetId="0">'รับ-จ่าย'!$A$1:$F$70</definedName>
    <definedName name="_xlnm.Print_Area" localSheetId="18">'รับจ่ายจริง'!$A$1:$F$97</definedName>
    <definedName name="_xlnm.Print_Area" localSheetId="13">'รับ-จ่ายปลายปี'!$A$1:$E$63</definedName>
    <definedName name="_xlnm.Print_Area" localSheetId="2">'หมายเหตุ1'!$A$1:$C$32</definedName>
    <definedName name="_xlnm.Print_Area" localSheetId="4">'หมายเหตุ2'!#REF!</definedName>
    <definedName name="_xlnm.Print_Area" localSheetId="3">'หมายเหตุ2 (โรงเรือน)'!#REF!</definedName>
    <definedName name="_xlnm.Print_Area" localSheetId="5">'หมายเหตุ3'!$A$1:$G$34</definedName>
    <definedName name="_xlnm.Print_Area" localSheetId="7">'หมายเหตุ4'!$A$1:$C$34</definedName>
    <definedName name="_xlnm.Print_Area" localSheetId="9">'หมายเหตุ7'!$A$1:$Q$29</definedName>
    <definedName name="_xlnm.Print_Area" localSheetId="10">'หมายเหตุ8'!$A$1:$F$34</definedName>
    <definedName name="_xlnm.Print_Titles" localSheetId="16">'กระดาษทำการ'!$1:$6</definedName>
    <definedName name="_xlnm.Print_Titles" localSheetId="15">'งบทรัพย์สิน'!$1:$6</definedName>
    <definedName name="_xlnm.Print_Titles" localSheetId="18">'รับจ่ายจริง'!$1:$6</definedName>
    <definedName name="_xlnm.Print_Titles" localSheetId="13">'รับ-จ่ายปลายปี'!$1:$3</definedName>
    <definedName name="_xlnm.Print_Titles" localSheetId="6">'หมายเหตุ'!$1:$9</definedName>
  </definedNames>
  <calcPr fullCalcOnLoad="1"/>
</workbook>
</file>

<file path=xl/comments5.xml><?xml version="1.0" encoding="utf-8"?>
<comments xmlns="http://schemas.openxmlformats.org/spreadsheetml/2006/main">
  <authors>
    <author>HomeUser</author>
  </authors>
  <commentList>
    <comment ref="A6" authorId="0">
      <text>
        <r>
          <rPr>
            <b/>
            <sz val="8"/>
            <rFont val="Tahoma"/>
            <family val="0"/>
          </rPr>
          <t>HomeUser: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<sst xmlns="http://schemas.openxmlformats.org/spreadsheetml/2006/main" count="1281" uniqueCount="700">
  <si>
    <t>องค์การบริหารส่วนตำบลบ้านใหม่</t>
  </si>
  <si>
    <t>จึงถึงปัจจุบัน</t>
  </si>
  <si>
    <t>ประมาณการ</t>
  </si>
  <si>
    <t>บาท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</si>
  <si>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</si>
  <si>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</si>
  <si>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</si>
  <si>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</si>
  <si>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</si>
  <si>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</si>
  <si>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</si>
  <si>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</si>
  <si>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</si>
  <si>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</si>
  <si>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</si>
  <si>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</si>
  <si>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</si>
  <si>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</si>
  <si>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</si>
  <si>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รายงาน   รับ - จ่าย   เงินสด</t>
  </si>
  <si>
    <t>0100</t>
  </si>
  <si>
    <t>0200</t>
  </si>
  <si>
    <t>0250</t>
  </si>
  <si>
    <t>0300</t>
  </si>
  <si>
    <t>0350</t>
  </si>
  <si>
    <t>1000</t>
  </si>
  <si>
    <t>2000</t>
  </si>
  <si>
    <t>0120</t>
  </si>
  <si>
    <t>รายจ่าย</t>
  </si>
  <si>
    <t>งบกลาง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</si>
  <si>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</si>
  <si>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</si>
  <si>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</si>
  <si>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</si>
  <si>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</si>
  <si>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</si>
  <si>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</si>
  <si>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</si>
  <si>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สูงกว่า</t>
  </si>
  <si>
    <t>(ต่ำกว่า)</t>
  </si>
  <si>
    <t>ยอดยกไป</t>
  </si>
  <si>
    <t>200</t>
  </si>
  <si>
    <t>250</t>
  </si>
  <si>
    <t>270</t>
  </si>
  <si>
    <t>300</t>
  </si>
  <si>
    <t>400</t>
  </si>
  <si>
    <t>450</t>
  </si>
  <si>
    <t>500</t>
  </si>
  <si>
    <t>งบทดลอง</t>
  </si>
  <si>
    <t>รหัสบัญชี</t>
  </si>
  <si>
    <t>เดบิท</t>
  </si>
  <si>
    <t>เครดิต</t>
  </si>
  <si>
    <t>เงินสด</t>
  </si>
  <si>
    <t>เงินฝากออมทรัพย์ ธ.กรุงไทย</t>
  </si>
  <si>
    <t>เงินฝากโครงการเศรษฐกิจชุมชน บัญชี 2 ธ.ธกส.</t>
  </si>
  <si>
    <t>เงินฝากโครงการถ่ายโอนภาระกิจฯ ธ.ธกส.</t>
  </si>
  <si>
    <t>เงินฝากกระแสรายวัน ธ.กรุงไทย</t>
  </si>
  <si>
    <t>รายจ่ายค้างจ่าย</t>
  </si>
  <si>
    <t xml:space="preserve">เงินกู้ยืมโครงการเศรษฐกิจชุมชน </t>
  </si>
  <si>
    <t>เงินประกันสัญญา</t>
  </si>
  <si>
    <t>ภาษีหัก ณ ที่จ่าย</t>
  </si>
  <si>
    <t>รวม</t>
  </si>
  <si>
    <t>ลูกหนี้เงินกู้ยืมโครงการเศรษฐกิจชุมชน</t>
  </si>
  <si>
    <t>เงินรับฝาก-ค่าตอบแทน</t>
  </si>
  <si>
    <t>เงินรับฝาก-ค่าใช้จ่าย ภบท. 5%</t>
  </si>
  <si>
    <t>เงินรับฝาก-ส่วนลด ภบท. 6%</t>
  </si>
  <si>
    <t>งบทดลอง (หลังปิดบัญชี)</t>
  </si>
  <si>
    <t>ค่าจ้างชั่วคราว</t>
  </si>
  <si>
    <t>เงินรายรับ</t>
  </si>
  <si>
    <t>เงินเดือนพนักงาน</t>
  </si>
  <si>
    <t>ลำดับที่</t>
  </si>
  <si>
    <t>จำนวนเงินค้างจ่าย</t>
  </si>
  <si>
    <t>รวมรายจ่ายค้างจ่าย</t>
  </si>
  <si>
    <t>รายจ่ายค้างจ่าย  มีรายละเอียด ดังนี้</t>
  </si>
  <si>
    <t>รายรับจริง</t>
  </si>
  <si>
    <t>รายรับตามประมาณการ</t>
  </si>
  <si>
    <t>รายรับ</t>
  </si>
  <si>
    <t>ค่าธรรมเนียม ค่าปรับและค่าใบอนุญาต</t>
  </si>
  <si>
    <t>รวมเงินตามประมาณการรายรับทั้งสิ้น</t>
  </si>
  <si>
    <t>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</si>
  <si>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</si>
  <si>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>รวมรายรับทั้งสิ้น</t>
  </si>
  <si>
    <t>สูง (+)</t>
  </si>
  <si>
    <t>ต่ำ (-)</t>
  </si>
  <si>
    <t>องค์การบริหารส่วนตำบลบ้านใหม่     อำเภอเมืองนครราชสีมา     จังหวัดนครราชสีมา</t>
  </si>
  <si>
    <t>รายจ่ายตามประมาณการ</t>
  </si>
  <si>
    <t>รวมรายจ่ายตามประมาณการรายจ่ายทั้งสิ้น</t>
  </si>
  <si>
    <t>เงินรับฝาก-ดอกเบี้ยโครงการถ่ายโอนงาน/กิจกรรมฯ</t>
  </si>
  <si>
    <t>รายจ่ายจริง</t>
  </si>
  <si>
    <r>
      <t>รายรับ</t>
    </r>
    <r>
      <rPr>
        <b/>
        <sz val="16"/>
        <rFont val="Angsana New"/>
        <family val="1"/>
      </rPr>
      <t xml:space="preserve">   </t>
    </r>
    <r>
      <rPr>
        <sz val="16"/>
        <rFont val="Angsana New"/>
        <family val="1"/>
      </rPr>
      <t xml:space="preserve">                                             รายจ่าย</t>
    </r>
  </si>
  <si>
    <t>000</t>
  </si>
  <si>
    <t>120</t>
  </si>
  <si>
    <t>130</t>
  </si>
  <si>
    <t>จ่ายขาดเงินสะสม</t>
  </si>
  <si>
    <t>รวมรายจ่ายทั้งสิ้น</t>
  </si>
  <si>
    <t>เงินรับฝาก</t>
  </si>
  <si>
    <t>เงินรับฝาก  มีรายละเอียด ดังนี้</t>
  </si>
  <si>
    <t>ค่าตอบแทนตรวจแบบ</t>
  </si>
  <si>
    <t>ค่าใช้จ่าย ภบท. 5%</t>
  </si>
  <si>
    <t>ส่วนลด  ภบท. 6%</t>
  </si>
  <si>
    <t>รวมเงินรับฝาก</t>
  </si>
  <si>
    <t>งบแสดงฐานะการเงิน</t>
  </si>
  <si>
    <t>ทรัพย์สิน</t>
  </si>
  <si>
    <t>เงินสดในมือ</t>
  </si>
  <si>
    <t>ดอกเบี้ยโครงการถ่ายโอนงาน/กิจกรรมฯ</t>
  </si>
  <si>
    <t>หนี้สินและเงินสะสม</t>
  </si>
  <si>
    <t>รวมหนี้สินและเงินสะสม</t>
  </si>
  <si>
    <t>รวมทรัพย์สิน</t>
  </si>
  <si>
    <t>ประเภททรัพย์สิน</t>
  </si>
  <si>
    <t>ยกมาจาก</t>
  </si>
  <si>
    <t>งวดก่อน</t>
  </si>
  <si>
    <t>รับเพิ่ม</t>
  </si>
  <si>
    <t>งวดนี้</t>
  </si>
  <si>
    <t>จำหน่าย</t>
  </si>
  <si>
    <t>ยกไปงวด</t>
  </si>
  <si>
    <t>หน้า</t>
  </si>
  <si>
    <t>ทรัพย์สินเกิดจาก</t>
  </si>
  <si>
    <t>จำนวน</t>
  </si>
  <si>
    <t>-ที่ดิน</t>
  </si>
  <si>
    <t>-อาคาร</t>
  </si>
  <si>
    <t>-ครุภัณฑ์พาหนะ</t>
  </si>
  <si>
    <t>ก. อสังหาริมทรัพย์</t>
  </si>
  <si>
    <t>ข. สังหาริมทรัพย์</t>
  </si>
  <si>
    <t>-ถนนและสิ่งก่อสร้างอื่น ๆ</t>
  </si>
  <si>
    <t>ก.  รายได้องค์การบริหารส่วนตำบล</t>
  </si>
  <si>
    <t>ข.  เงินอุดหนุนรัฐบาล</t>
  </si>
  <si>
    <t>ค.  โอนจากสภาตำบล</t>
  </si>
  <si>
    <t>ง.  ได้รับบริจาค</t>
  </si>
  <si>
    <t>จ.  เงินสะสม</t>
  </si>
  <si>
    <t>กระดาษทำการ</t>
  </si>
  <si>
    <t>ใบผ่านรายการบัญชีทั่วไป</t>
  </si>
  <si>
    <t>ใบผ่านรายการบัญชีมาตรฐาน</t>
  </si>
  <si>
    <t>หนี้สิน+เงินสะสม</t>
  </si>
  <si>
    <t>เงินฝากโครงการเศรษฐกิจชุมชน</t>
  </si>
  <si>
    <t>เงินกู้ยืมโครงการเศรษฐกิจฯ</t>
  </si>
  <si>
    <t>กระดาษทำการกระทบยอด</t>
  </si>
  <si>
    <t>แผนงาน</t>
  </si>
  <si>
    <t>หมวด/ประเภท</t>
  </si>
  <si>
    <t>00112</t>
  </si>
  <si>
    <t>00411</t>
  </si>
  <si>
    <t>รายจ่ายงบกลาง</t>
  </si>
  <si>
    <t>รวมเดือนนี้</t>
  </si>
  <si>
    <t>รวมแต่ต้นปี</t>
  </si>
  <si>
    <t>252  รายจ่ายเพื่อบำรุงรักษาหรือซ่อมแซมทรัพย์สิน</t>
  </si>
  <si>
    <t>271  วัสดุสำนักงาน</t>
  </si>
  <si>
    <t>273  วัสดุงานบ้านงานครัว</t>
  </si>
  <si>
    <t>274  วัสดุก่อสร้าง</t>
  </si>
  <si>
    <t>276  วัสดุเชื้อเพลิงและหล่อลื่น</t>
  </si>
  <si>
    <t>280  วัสดุเครื่องแต่งกาย</t>
  </si>
  <si>
    <t>301  ค่าไฟฟ้า</t>
  </si>
  <si>
    <t>303  ค่าโทรศัพท์</t>
  </si>
  <si>
    <t>305  ค่าบริการทางด้านโทรคมนาคม</t>
  </si>
  <si>
    <t>403  เงินอุดหนุนส่วนราชการ</t>
  </si>
  <si>
    <t>450  ค่าครุภัณฑ์</t>
  </si>
  <si>
    <t>516  ถนน</t>
  </si>
  <si>
    <t>บัญชีรายละเอียดรายรับ-รายจ่ายจริง</t>
  </si>
  <si>
    <t xml:space="preserve">องค์การบริหารส่วนตำบลบ้านใหม่     </t>
  </si>
  <si>
    <t>รายได้จัดเก็บเอง</t>
  </si>
  <si>
    <t>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</si>
  <si>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</si>
  <si>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</si>
  <si>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</si>
  <si>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หมวดค่าธรรมเนียม ค่าปรับและใบอนุญาต</t>
  </si>
  <si>
    <t>ค่าธรรมเนียมเกี่ยวกับใบอนุญาตการขายสุรา</t>
  </si>
  <si>
    <t>ค่าธรรมเนียมเกี่ยวกับใบอนุญาตเล่นการพนัน</t>
  </si>
  <si>
    <t>ค่าธรรมเนียมเกี่ยวกับการควบคุมอาคาร</t>
  </si>
  <si>
    <t>ค่าปรับการผิดสัญญา</t>
  </si>
  <si>
    <t>ค่าใบอนุญาตประกอบกิจการที่เป็นอันตรายต่อสุขภาพ</t>
  </si>
  <si>
    <t>ค่าใบอนุญาตเกี่ยวกับการควบคุมอาคาร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</si>
  <si>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</si>
  <si>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</si>
  <si>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</si>
  <si>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</si>
  <si>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</si>
  <si>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</si>
  <si>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</si>
  <si>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</si>
  <si>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</si>
  <si>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</si>
  <si>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ค่าปรับผู้กระทำความผิดกฎหมายและข้อบัญญัติท้องถิ่น</t>
  </si>
  <si>
    <t>หมวดรายได้จากทรัพย์สิน</t>
  </si>
  <si>
    <t>ดอกเบี้ยเงินฝากธนาคาร</t>
  </si>
  <si>
    <t>เงินรางวัล</t>
  </si>
  <si>
    <t>หมวดรายได้เบ็ดเตล็ด</t>
  </si>
  <si>
    <t>ค่าขายแปลน</t>
  </si>
  <si>
    <t>ค่ารับรองสำเนาและถ่ายเอกสาร</t>
  </si>
  <si>
    <t xml:space="preserve">รายได้เบ็ดเตล็ดอื่นๆ </t>
  </si>
  <si>
    <t>รายได้ที่รัฐบาลเก็บแล้วจัดสรรให้องค์การบริหารส่วนท้องถิ่น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</si>
  <si>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</si>
  <si>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</si>
  <si>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ภาษีธุรกิจเฉพาะ</t>
  </si>
  <si>
    <t>ภาษีสุรา</t>
  </si>
  <si>
    <t>ภาษีสรรพสามิต</t>
  </si>
  <si>
    <t>ค่าธรรมเนียมป่าไม้</t>
  </si>
  <si>
    <t>ค่าภาคหลวงแร่</t>
  </si>
  <si>
    <t>ค่าภาคหลวงปิโตรเลียม</t>
  </si>
  <si>
    <t>เงินโอนจัดสรรจากกรมทรัพยากรธรรมชาติ</t>
  </si>
  <si>
    <t>รายได้ที่รัฐบาลอุดหนุนให้องค์กรปกครองส่วนท้องถิ่น</t>
  </si>
  <si>
    <t>หมวดเงินอุดหนุน</t>
  </si>
  <si>
    <t>หมวดเงินอุดหนุนทั่วไป</t>
  </si>
  <si>
    <t>รายได้ที่รัฐบาลอุดหนุนให้โดยระบุวัตถุประสงค์</t>
  </si>
  <si>
    <t>หมวดเงินอุดหนุนเฉพาะกิจ</t>
  </si>
  <si>
    <t>แผนงานบริหาร</t>
  </si>
  <si>
    <t>งบกลาง-สำรองจ่าย</t>
  </si>
  <si>
    <t>หมวดค่าตอบแทน</t>
  </si>
  <si>
    <t>หมวดค่าใช้สอย</t>
  </si>
  <si>
    <t>หมวดค่าวัสดุ</t>
  </si>
  <si>
    <t>หมวดค่าสาธารณูปโภค</t>
  </si>
  <si>
    <t>รวมรายจ่ายแผนบริหาร</t>
  </si>
  <si>
    <t>รายจ่ายเพื่อการลงทุน</t>
  </si>
  <si>
    <t>หมวดค่าครุภัณฑ์</t>
  </si>
  <si>
    <t>หมวดค่าที่ดินและสิ่งก่อสร้าง</t>
  </si>
  <si>
    <t>รวมรายจ่ายเพื่อการลงทุน</t>
  </si>
  <si>
    <t>รายรับจริงสูงกว่ารายจ่ายจริง</t>
  </si>
  <si>
    <t>0101</t>
  </si>
  <si>
    <t>0102</t>
  </si>
  <si>
    <t>0103</t>
  </si>
  <si>
    <t>0122</t>
  </si>
  <si>
    <t>0123</t>
  </si>
  <si>
    <t>0125</t>
  </si>
  <si>
    <t>0142</t>
  </si>
  <si>
    <t>0137</t>
  </si>
  <si>
    <t>0139</t>
  </si>
  <si>
    <t>0140</t>
  </si>
  <si>
    <t>0203</t>
  </si>
  <si>
    <t>0302</t>
  </si>
  <si>
    <t>0305</t>
  </si>
  <si>
    <t>0307</t>
  </si>
  <si>
    <t>1001</t>
  </si>
  <si>
    <t>1002</t>
  </si>
  <si>
    <t>1004</t>
  </si>
  <si>
    <t>1005</t>
  </si>
  <si>
    <t>1006</t>
  </si>
  <si>
    <t>1009</t>
  </si>
  <si>
    <t>1010</t>
  </si>
  <si>
    <t>1011</t>
  </si>
  <si>
    <t>1013</t>
  </si>
  <si>
    <t>3000</t>
  </si>
  <si>
    <t>งบทรัพย์สิน</t>
  </si>
  <si>
    <t>หมายเหตุ  4</t>
  </si>
  <si>
    <t>เลขที่สัญญา</t>
  </si>
  <si>
    <t>หมู่ที่</t>
  </si>
  <si>
    <t>2/2544</t>
  </si>
  <si>
    <t>3/2544</t>
  </si>
  <si>
    <t>5/2544</t>
  </si>
  <si>
    <t>8/2544</t>
  </si>
  <si>
    <t>14/2544</t>
  </si>
  <si>
    <t>15/2544</t>
  </si>
  <si>
    <t>16/2544</t>
  </si>
  <si>
    <t>18/2544</t>
  </si>
  <si>
    <t>20/2544</t>
  </si>
  <si>
    <t>21/2544</t>
  </si>
  <si>
    <t>รวมเงิน</t>
  </si>
  <si>
    <t>ลำดับ</t>
  </si>
  <si>
    <t>ที่อยู่</t>
  </si>
  <si>
    <t>นางสุวรรณ</t>
  </si>
  <si>
    <t>ถิ่นรัตน์</t>
  </si>
  <si>
    <t>หมายเหตุ  1</t>
  </si>
  <si>
    <t>เงินสำรองรายรับ</t>
  </si>
  <si>
    <t>ยอดบัญชีสำรองเงินรายรับ ประกอบด้วย</t>
  </si>
  <si>
    <t>เงินอุดหนุนทั่วไป เพื่อลดช่องว่างทางการคลังให้แก่องค์กรปกครองส่วนท้องถิ่น</t>
  </si>
  <si>
    <t>เงินอุดหนุนให้แก่องค์กรปกครองส่วนท้องถิ่น เพื่อดำเนินการจัดทำโครงการ</t>
  </si>
  <si>
    <t>ตามอำนาจหน้าที่ให้สอดคล้องกับยุทธศาสตร์ การพัฒนาจังหวัด</t>
  </si>
  <si>
    <t>เงินรายได้ประเภทภาษีมูลค่าเพิ่ม ภาษีสุรา และภาษีสรรพสามิต ให้แก่องค์กร</t>
  </si>
  <si>
    <t>ปกครองส่วนท้องถิ่น ตามประกาศคณะกรรมการกระจายอำนาจให้แก่องค์กร</t>
  </si>
  <si>
    <t>(บาท)</t>
  </si>
  <si>
    <t>รวมทั้งสิ้น</t>
  </si>
  <si>
    <t xml:space="preserve">รายจ่ายค้างจ่าย </t>
  </si>
  <si>
    <t xml:space="preserve">ลูกหนี้เงินกู้ยืมโครงการเศรษฐกิจฯ </t>
  </si>
  <si>
    <t xml:space="preserve">ลูกหนี้ค่าภาษี </t>
  </si>
  <si>
    <t>หมายเหตุ  5</t>
  </si>
  <si>
    <t>เงินฝากธนาคาร</t>
  </si>
  <si>
    <t xml:space="preserve">ทุนทรัพย์สิน  </t>
  </si>
  <si>
    <t>เงินกู้ยืมโครงการเศรษฐกิจชุมชม</t>
  </si>
  <si>
    <t>บวก</t>
  </si>
  <si>
    <t>รับจริงสูงกว่าจ่ายจริง</t>
  </si>
  <si>
    <t>หัก</t>
  </si>
  <si>
    <t>รายได้ค้างรับ (ลูกหนี้-ภาษีบำรุงท้องที่)</t>
  </si>
  <si>
    <t>รายละเอียด   เงินสะสม  มีดังนี้</t>
  </si>
  <si>
    <t>เงินสำรองรายรับ  (ปรับปรุงจากรายรับ)</t>
  </si>
  <si>
    <t>เงินฝากธนาคาร  มีรายละเอียด ดังนี้</t>
  </si>
  <si>
    <t>เงินฝากโครงการถ่ายโอนงาน/กิจกรรม ธ.ธกส.</t>
  </si>
  <si>
    <t>รวมเงินฝากธนาคาร</t>
  </si>
  <si>
    <t>เงินเบิกตัดปี   มีรายละเอียด ดังนี้</t>
  </si>
  <si>
    <t xml:space="preserve">ทรัพย์สินตามงบทรัพย์สิน </t>
  </si>
  <si>
    <t>เงินฝากธนาคาร  (หมายเหตุ  1)</t>
  </si>
  <si>
    <t>ลูกหนี้-ภาษีบำรุงท้องที่  (หมายเหตุ  2)</t>
  </si>
  <si>
    <t>ลูกหนี้-เงินกู้ยืมโครงการเศรษฐกิจชุมชน (หมายเหตุ  3)</t>
  </si>
  <si>
    <t>รายจ่ายค้างจ่าย (หมายเหตุ  5)</t>
  </si>
  <si>
    <t>เงินรับฝาก  (หมายเหตุ  6)</t>
  </si>
  <si>
    <t>เงินสะสม  (หมายเหตุ  8)</t>
  </si>
  <si>
    <t>หมายเหตุ  7</t>
  </si>
  <si>
    <t>หมายเหตุ  6</t>
  </si>
  <si>
    <t>นายกองค์การบริหารส่วนตำบลบ้านใหม่</t>
  </si>
  <si>
    <t>-ครุภัณฑ์สำรวจ</t>
  </si>
  <si>
    <t>-ครุภัณฑ์วัสดุโฆษณาและเผยแพร่</t>
  </si>
  <si>
    <t>ลูกหนี้-เงินกู้ยืมงบประมาณ</t>
  </si>
  <si>
    <t>เงินทุนสำรองเงินสะสม(25%ของยอดรับจริงหักจ่ายจริง)</t>
  </si>
  <si>
    <t xml:space="preserve">ลูกหนี้เงินกู้ยืมเงินงบประมาณ </t>
  </si>
  <si>
    <t>รายจ่ายอื่น ๆ</t>
  </si>
  <si>
    <t>เงินทุนสำรองเงินสะสม</t>
  </si>
  <si>
    <t>ลูกหนี้โครงการเศรษฐกิจชุมชน</t>
  </si>
  <si>
    <t>ชื่อ</t>
  </si>
  <si>
    <t>นามสกุล</t>
  </si>
  <si>
    <t>หมู่</t>
  </si>
  <si>
    <t>ตำบล</t>
  </si>
  <si>
    <t>อำเภอ</t>
  </si>
  <si>
    <t>จังหวัด</t>
  </si>
  <si>
    <t>บ้านใหม่</t>
  </si>
  <si>
    <t>เมือง</t>
  </si>
  <si>
    <t>นครราชสีมา</t>
  </si>
  <si>
    <t>กรุงเทพฯ</t>
  </si>
  <si>
    <t>ในเมือง</t>
  </si>
  <si>
    <t>นางมะลิ</t>
  </si>
  <si>
    <t>เจนพนัส</t>
  </si>
  <si>
    <t>โคกกรวด</t>
  </si>
  <si>
    <t>รับระหว่างปี</t>
  </si>
  <si>
    <t>เงินทุนสำรองเงินสะสม(25%จากรับจริงหักจ่ายจริง</t>
  </si>
  <si>
    <t>ลูกหนี้ค่าภาษี - บำรุงท้องที่</t>
  </si>
  <si>
    <t>เงินุทนเงินสำรองเงินสะสม</t>
  </si>
  <si>
    <t>รายจ่ายค้างจ่าย  (หมายเหตุ  5)</t>
  </si>
  <si>
    <t>หมวดรายจ่ายอื่น ๆ</t>
  </si>
  <si>
    <t>เงินที่มีผู้อุทิศให้</t>
  </si>
  <si>
    <t>ค่าธรรมเนียมเก็บและขนขยะมูลฝอย</t>
  </si>
  <si>
    <t>ค่าธรรมเนียมเก็บและขนอุจจาระหรือสิ่งปฏิกูล</t>
  </si>
  <si>
    <t>ค่าธรรมเนียมควบคุมน้ำมันเชื้อเพลิง</t>
  </si>
  <si>
    <t>(11)</t>
  </si>
  <si>
    <t>(12)</t>
  </si>
  <si>
    <t>ค่าใบอนุญาตควบคุมน้ำมันเชื้อเพลิง</t>
  </si>
  <si>
    <t>(13)</t>
  </si>
  <si>
    <t>ค่าปรับจราจร</t>
  </si>
  <si>
    <t>เงินอุดหนุนทั่วไป เงินอุดหนุนสำหรับองค์กรปกครองส่วนท้องถิ่นที่มีความพยายามใน</t>
  </si>
  <si>
    <t>การจัดเก็บภาษี</t>
  </si>
  <si>
    <t>เงินอุดหนุนทั่วไป เงินอุดหนุนสำหรับองค์กรปกครองส่วนท้องถิ่นที่มีการบริหารจัดการ</t>
  </si>
  <si>
    <t>ปกครองส่วนท้องถิ่น และรายได้ที่รัฐบาลเก็บและจัดสรรให้ อปท.</t>
  </si>
  <si>
    <t>เงินรายได้ที่องค์กรปกครองส่วนท้องถิ่นจัดเก็บเอง</t>
  </si>
  <si>
    <t>(สุพรชัย  เศวตมาลย์)</t>
  </si>
  <si>
    <r>
      <t xml:space="preserve">อำเภอ </t>
    </r>
    <r>
      <rPr>
        <sz val="16"/>
        <rFont val="Angsana New"/>
        <family val="1"/>
      </rPr>
      <t xml:space="preserve">  เมืองนครราชสีมา       </t>
    </r>
    <r>
      <rPr>
        <b/>
        <sz val="16"/>
        <rFont val="Angsana New"/>
        <family val="1"/>
      </rPr>
      <t xml:space="preserve"> จังหวัด</t>
    </r>
    <r>
      <rPr>
        <sz val="16"/>
        <rFont val="Angsana New"/>
        <family val="1"/>
      </rPr>
      <t xml:space="preserve">   นครราชีมา</t>
    </r>
  </si>
  <si>
    <t>เงินรับฝาก (หมายเหตุ 1)</t>
  </si>
  <si>
    <t>ค่าจ้างลูกจ้างชั่วคราว</t>
  </si>
  <si>
    <t>รวมรายจ่าย</t>
  </si>
  <si>
    <t>ลูกหนี้-เงินยืมเงินงบประมาณ</t>
  </si>
  <si>
    <t>หลักประกันสัญญา</t>
  </si>
  <si>
    <r>
      <t xml:space="preserve">รายรับ </t>
    </r>
    <r>
      <rPr>
        <sz val="16"/>
        <rFont val="Angsana New"/>
        <family val="1"/>
      </rPr>
      <t xml:space="preserve">                         รายจ่าย</t>
    </r>
  </si>
  <si>
    <t>ต่ำกว่า</t>
  </si>
  <si>
    <t>010</t>
  </si>
  <si>
    <t>021</t>
  </si>
  <si>
    <t>022</t>
  </si>
  <si>
    <t>023</t>
  </si>
  <si>
    <t>024</t>
  </si>
  <si>
    <t>025</t>
  </si>
  <si>
    <t>ลูกหนี้-ภาษีบำรุงท้องที่</t>
  </si>
  <si>
    <t>082</t>
  </si>
  <si>
    <t>092</t>
  </si>
  <si>
    <t>100</t>
  </si>
  <si>
    <t>ที่ดินและสิ่งก่อสร้าง</t>
  </si>
  <si>
    <t>821</t>
  </si>
  <si>
    <t>700</t>
  </si>
  <si>
    <t>701</t>
  </si>
  <si>
    <t>600</t>
  </si>
  <si>
    <t>902</t>
  </si>
  <si>
    <t>903</t>
  </si>
  <si>
    <t>906</t>
  </si>
  <si>
    <t>907</t>
  </si>
  <si>
    <t>908</t>
  </si>
  <si>
    <t>909</t>
  </si>
  <si>
    <t>910</t>
  </si>
  <si>
    <t>………………………………</t>
  </si>
  <si>
    <t>หัวหน้าส่วนการคลัง</t>
  </si>
  <si>
    <t>-ครุภัณฑ์คอมพิวเตอร์</t>
  </si>
  <si>
    <t>รายจ่ายตามงบประมาณ(จ่ายจากรายรับ)</t>
  </si>
  <si>
    <t>บริหารทั่วไป(00110)</t>
  </si>
  <si>
    <t>00110</t>
  </si>
  <si>
    <t>101  เงินเดือนพนักงาน</t>
  </si>
  <si>
    <t>102  ค่าจ้างชั่วคราว</t>
  </si>
  <si>
    <t>251  รายจ่ายเพื่อให้ได้มาซึ่งบริการ</t>
  </si>
  <si>
    <t>304  ค่าไปรษณีย์ฯ</t>
  </si>
  <si>
    <t>…………………………………….</t>
  </si>
  <si>
    <t>หมายเหตุ 2</t>
  </si>
  <si>
    <t>นิตย์ใหม่</t>
  </si>
  <si>
    <t>นางเสมอ</t>
  </si>
  <si>
    <t>พัดใหม่</t>
  </si>
  <si>
    <t>เรือนใหม่</t>
  </si>
  <si>
    <t>บุญญฤทธิ์</t>
  </si>
  <si>
    <t>2171-2173</t>
  </si>
  <si>
    <t>ถ.มุขมนตรี</t>
  </si>
  <si>
    <t>หมายเหตุ 3</t>
  </si>
  <si>
    <t>ลูกหนี้ตามสัญญาเงินทุนโครงการเศรษฐกิจชุมชน</t>
  </si>
  <si>
    <t>ชื่อ - นามสกุล</t>
  </si>
  <si>
    <t>กลุ่ม</t>
  </si>
  <si>
    <t>นายจรูญ</t>
  </si>
  <si>
    <t>นายถนอม</t>
  </si>
  <si>
    <t>จุลศรี</t>
  </si>
  <si>
    <t>เกษตรกรหัวสิบ</t>
  </si>
  <si>
    <t>สิบเอกถาวร</t>
  </si>
  <si>
    <t>ธาตุชัย</t>
  </si>
  <si>
    <t>ข้าวหอมประทุม 1</t>
  </si>
  <si>
    <t>นายสุรพจน์</t>
  </si>
  <si>
    <t>เกียรติทศดล</t>
  </si>
  <si>
    <t>เกษตรพัฒนา 2</t>
  </si>
  <si>
    <t>นางประทวน</t>
  </si>
  <si>
    <t>แนใหม่</t>
  </si>
  <si>
    <t>เกษตรผสมผสาน</t>
  </si>
  <si>
    <t>นางละมัย</t>
  </si>
  <si>
    <t>ชุ่มขุนทด</t>
  </si>
  <si>
    <t>ค้าขายทั่วไป</t>
  </si>
  <si>
    <t>กิ่งโคกกรวด</t>
  </si>
  <si>
    <t>นางสาวนงลักษณ์</t>
  </si>
  <si>
    <t>โนใหม่</t>
  </si>
  <si>
    <t>โครงการเกษตรปลูกนาบัว</t>
  </si>
  <si>
    <t>นางวัชรา</t>
  </si>
  <si>
    <t>กิ่งพุดซา</t>
  </si>
  <si>
    <t>ถั่วลิสงแปรรูป</t>
  </si>
  <si>
    <t>นายสวัสดิ์</t>
  </si>
  <si>
    <t>โพรงขุนทด</t>
  </si>
  <si>
    <t>ร้อยพวงมาลัย</t>
  </si>
  <si>
    <t>นายสมบูรณ์</t>
  </si>
  <si>
    <t>ศิริปรุ</t>
  </si>
  <si>
    <t>อาชีพค้าขายทั่วไป</t>
  </si>
  <si>
    <t>นายเลี่ยม</t>
  </si>
  <si>
    <t>เกลื่อนกลาง</t>
  </si>
  <si>
    <t>อาชีพอิสระพัฒนา</t>
  </si>
  <si>
    <t>นางจรรยา</t>
  </si>
  <si>
    <t>โนนใหม่</t>
  </si>
  <si>
    <t>เกษตรกรบ้านสำโรงเหนือ</t>
  </si>
  <si>
    <t>ค่าใบอนุญาตจำหน่ายสินค้าในที่สาธารณะ</t>
  </si>
  <si>
    <t>ค่าธรรมเนียมจดทะเบียนสิทธิและนิติกรรมฯ</t>
  </si>
  <si>
    <t>เงินฝากออมทรัพย์  ธมจ.กรุงไทย  สาขาย่อยอัมพวัน</t>
  </si>
  <si>
    <t>เงินฝากกระแสรายวัน ธมจ.กรุงไทย    สาขานครราชสีมา</t>
  </si>
  <si>
    <t>จำนวนเงินทั้งสิ้น</t>
  </si>
  <si>
    <t>นางวาย</t>
  </si>
  <si>
    <t>แคล้วสูงเนิน</t>
  </si>
  <si>
    <t>นางริม</t>
  </si>
  <si>
    <t>ชีใหม่</t>
  </si>
  <si>
    <t>สินปรุ</t>
  </si>
  <si>
    <t>นายหมั่น</t>
  </si>
  <si>
    <t>นางแป้น</t>
  </si>
  <si>
    <t>นายสมศักดิ์</t>
  </si>
  <si>
    <t>ดีใหม่</t>
  </si>
  <si>
    <t>สนิทบุรุษ</t>
  </si>
  <si>
    <t>มุ้ยกระโทก</t>
  </si>
  <si>
    <t>นายสมชาย</t>
  </si>
  <si>
    <t>นางอำนวยพร</t>
  </si>
  <si>
    <t>95/2</t>
  </si>
  <si>
    <t>ศุภลักษณ์</t>
  </si>
  <si>
    <t>เทพทอง</t>
  </si>
  <si>
    <t>นายประเสริมศักดิ์</t>
  </si>
  <si>
    <t>สุรนารี</t>
  </si>
  <si>
    <t>นางละเอียด</t>
  </si>
  <si>
    <t>ทรงศรีวิไล</t>
  </si>
  <si>
    <t>ขามทะเลสอ</t>
  </si>
  <si>
    <t>นายเฉลิมพล</t>
  </si>
  <si>
    <t>ทิศาปราโมทย์กูล</t>
  </si>
  <si>
    <t>689-691</t>
  </si>
  <si>
    <t>ถ.เจริญนคร</t>
  </si>
  <si>
    <t>แขวงคลองต้นไทร</t>
  </si>
  <si>
    <t>เขตคลองสาน</t>
  </si>
  <si>
    <t>282  วัสดุคอมพิวเตอร์</t>
  </si>
  <si>
    <t>-สนามเด็กเล่น</t>
  </si>
  <si>
    <t>-สวนสุขภาพ</t>
  </si>
  <si>
    <t>-ลานกีฬา</t>
  </si>
  <si>
    <t>-ครุภัณฑ์สำนักงาน</t>
  </si>
  <si>
    <t>-ครุภัณฑ์เครื่องดับเพลิง</t>
  </si>
  <si>
    <t>-ครุภัณฑ์การเกษตร</t>
  </si>
  <si>
    <t>-ครุภัณฑ์ก่อสร้าง</t>
  </si>
  <si>
    <t>ณ  วันที่  30  กันยายน  2551</t>
  </si>
  <si>
    <t>โอนเพิ่ม</t>
  </si>
  <si>
    <t>โอนลด</t>
  </si>
  <si>
    <t>เงินฝากออมทรัพย์ ธ.กรุงไทย อัมพวัน</t>
  </si>
  <si>
    <t>เงินฝากออมทรัพย์ ธ.กรุงไทย อัมพวัน (ประจำ 12 เดือน)</t>
  </si>
  <si>
    <t>ร้อยเอก………………….………………….</t>
  </si>
  <si>
    <t>เงินประโยชน์ตอบแทนอื่นเป็นกรณีพิเศษให้แก่พนักงาน</t>
  </si>
  <si>
    <t>วัสดุอื่นๆ</t>
  </si>
  <si>
    <t xml:space="preserve">                                                                </t>
  </si>
  <si>
    <t>เงินฝากประจำ  ธมจ.กรุงไทย  สาขาย่อยอัมพวัน</t>
  </si>
  <si>
    <t>201  เงินค่าป่วยการค่าตอบแทนคณะผู้บริหารและสมาชิก</t>
  </si>
  <si>
    <t>203 ค่าตอบแทนผู้ปฏิบัติราชการอันเป็นประโยชน์แก่ อบต.</t>
  </si>
  <si>
    <t>204 ค่าเบี้ยประชุม</t>
  </si>
  <si>
    <t>205 ค่าตอบแทนปฏิบัติงานนอกเวลาราชการ</t>
  </si>
  <si>
    <t>206 ค่าเช่าบ้าน</t>
  </si>
  <si>
    <t>207 เงินช่วยเหลือการศึกษาบุตร</t>
  </si>
  <si>
    <t>208 เงินช่วยเหลือค่ารักษาพยาบาล</t>
  </si>
  <si>
    <t>253  ราจ่ายเกี่ยวกับการรับรองและพิธีการ</t>
  </si>
  <si>
    <t>254  รายจ่ายเกี่ยวเนื่องกับการปฏิบัติราชการที่ไม่เข้าฯ</t>
  </si>
  <si>
    <t>ร้อยเอก.............................................</t>
  </si>
  <si>
    <t>เงินฝากประจำ ธ.กรุงไทย</t>
  </si>
  <si>
    <t>นายคง</t>
  </si>
  <si>
    <t>นางสาวสันทนีย์</t>
  </si>
  <si>
    <t>เชียงใหม่</t>
  </si>
  <si>
    <t>ปรุใหญ่</t>
  </si>
  <si>
    <t>ทุ่งมหาเมฆ</t>
  </si>
  <si>
    <t>สาธร</t>
  </si>
  <si>
    <t>1/2551</t>
  </si>
  <si>
    <t>เกษตรกรผู้ทำนา</t>
  </si>
  <si>
    <t>2/2551</t>
  </si>
  <si>
    <t>นางสมหวัง</t>
  </si>
  <si>
    <t>ดุมภ์ใหม่</t>
  </si>
  <si>
    <t>ส่งเสริมอาชีพแม่บ้าน</t>
  </si>
  <si>
    <t>3/2551</t>
  </si>
  <si>
    <t>4/2551</t>
  </si>
  <si>
    <t>นางฐิติยา</t>
  </si>
  <si>
    <t>จันทร์จำปา</t>
  </si>
  <si>
    <t>ส่งเสริมอาชีพค้าขายและแค๊ปหมู</t>
  </si>
  <si>
    <t>5/2551</t>
  </si>
  <si>
    <t>นางชื้น</t>
  </si>
  <si>
    <t>เกษตรผู้เพาะเห็ดนางฟ้า</t>
  </si>
  <si>
    <t>6/2551</t>
  </si>
  <si>
    <t>นายเจษฎา</t>
  </si>
  <si>
    <t>ส่งเสริมอาชีพรับซื้อขายของเก่า</t>
  </si>
  <si>
    <t>เงินฝากโครงการเศรษฐกิจชุมชน ธ.ธกส.</t>
  </si>
  <si>
    <t>(สุพรชัย   เศวตมาลย์)</t>
  </si>
  <si>
    <t>-ครุภัณฑ์เครื่องกรองน้ำ</t>
  </si>
  <si>
    <t>-ครุภัณฑ์วิทยาศาสตร์หรือการแพทย์</t>
  </si>
  <si>
    <t>-ครุภัณฑ์หม้อแปลงไฟฟ้า</t>
  </si>
  <si>
    <t>-ครุภัณฑ์งานบ้านงานครัว</t>
  </si>
  <si>
    <t>-ครุภัณฑ์ไฟฟ้าและวิทยุ</t>
  </si>
  <si>
    <t xml:space="preserve"> ร้อยเอก...............................................................</t>
  </si>
  <si>
    <t>ปลัดองคการบริหารส่วนตำบล  ปฏบัติหน้าที่</t>
  </si>
  <si>
    <t xml:space="preserve">                                                        (นางธัญญลักษณ์  นรินทร์วรกาล)                                                         </t>
  </si>
  <si>
    <t xml:space="preserve">              ...........……………..……..                </t>
  </si>
  <si>
    <t>-</t>
  </si>
  <si>
    <t>รายจ่ายรอจ่าย</t>
  </si>
  <si>
    <t>รายได้-ภาษีบำรุงท้องที่</t>
  </si>
  <si>
    <t>รายได้- ภาษีบำรุงท้องที่</t>
  </si>
  <si>
    <t>ชาญสูงเนิน</t>
  </si>
  <si>
    <t>ประสิทธิ์สุวรรณ</t>
  </si>
  <si>
    <t>นายจวน</t>
  </si>
  <si>
    <t>นางชอ้อน</t>
  </si>
  <si>
    <t>ผ่องศรี</t>
  </si>
  <si>
    <t>สติใหม่</t>
  </si>
  <si>
    <t>นางพิ้ม</t>
  </si>
  <si>
    <t>ขันโคกกรวด</t>
  </si>
  <si>
    <t>89</t>
  </si>
  <si>
    <t>นายพัน</t>
  </si>
  <si>
    <t>นายรอบรู้</t>
  </si>
  <si>
    <t>วิริยะพันธุ์</t>
  </si>
  <si>
    <t>ถ.พระราม 4</t>
  </si>
  <si>
    <t xml:space="preserve">        ปีงบประมาณ  2552</t>
  </si>
  <si>
    <t xml:space="preserve">                                                                    ประจำเดือน  กันยายน   2552</t>
  </si>
  <si>
    <t>เงินอุดหนุนทั่วไป</t>
  </si>
  <si>
    <t>เงินอุดหนุนทั่วไป (เบี้ยยังชีพคนชรา)</t>
  </si>
  <si>
    <t>เงินอุดหนุนเฉพาะกิจ(ปรับปรุงระบบประปา)</t>
  </si>
  <si>
    <t>2001</t>
  </si>
  <si>
    <r>
      <t>เงินอุดหนุนเฉพาะกิจ</t>
    </r>
    <r>
      <rPr>
        <sz val="12"/>
        <rFont val="Angsana New"/>
        <family val="1"/>
      </rPr>
      <t>(โครงการส่งเสริมออกกำลังกาย)</t>
    </r>
  </si>
  <si>
    <r>
      <t>เงินอุดหนุนเฉพาะกิจ</t>
    </r>
    <r>
      <rPr>
        <sz val="12"/>
        <rFont val="Angsana New"/>
        <family val="1"/>
      </rPr>
      <t>(ครุภัณฑ์ศูนย์เด็กเล็ก)</t>
    </r>
  </si>
  <si>
    <t>เงินอุดหนุนอาหารเสริม นม ป5-ป6</t>
  </si>
  <si>
    <t>รายรับไม่รวมเงินอุดหนุน</t>
  </si>
  <si>
    <t>ลูกหนี้ค่าภาษีบำรุงท้องที่</t>
  </si>
  <si>
    <t>เงินอุดหนุนเฉพาะกิจ</t>
  </si>
  <si>
    <t>จ่ายไม่รวมอุดหนุน</t>
  </si>
  <si>
    <t>ลูกหนี้-เงินยืมเงินสะสม</t>
  </si>
  <si>
    <t>รับ หัก จ่าย หัก อุดหนุน เหลือ</t>
  </si>
  <si>
    <t>ณ  วันที่  30  กันยายน   2552</t>
  </si>
  <si>
    <t>เงินฝากประจำธ.กรุงไทย อัมพวัน ( 12 เดือน)</t>
  </si>
  <si>
    <t>ลูกหนี้- เงินยืมเงินงบประมาณ</t>
  </si>
  <si>
    <t>704</t>
  </si>
  <si>
    <t>ลูกหนี้- เงินยืมเงินสะสม</t>
  </si>
  <si>
    <t>เงินอุดหนุน(เบี้ยยังชีพคนชรา)</t>
  </si>
  <si>
    <t>รายได้ - ภาษีบำรุงท้องที่</t>
  </si>
  <si>
    <t>822</t>
  </si>
  <si>
    <t>(นางสาวสุรีย์  พิมพ์ปรุ)</t>
  </si>
  <si>
    <t>รองปลัดองค์การบริหารส่วนตำบล รักษาการแทน</t>
  </si>
  <si>
    <t xml:space="preserve"> หัวหน้าส่วนการคลัง</t>
  </si>
  <si>
    <t>ปลัดองค์การบริหารส่วนตำบลบ้านใหม่</t>
  </si>
  <si>
    <t>.........................................................</t>
  </si>
  <si>
    <t>(นายไพโรจน์  พึ่งทหาร)</t>
  </si>
  <si>
    <t>ประจำเดือน  กันยายน   2552</t>
  </si>
  <si>
    <t>แผนรักษาความ</t>
  </si>
  <si>
    <t>แผนการศึกษา</t>
  </si>
  <si>
    <t>แผนงานสาธารณสุข</t>
  </si>
  <si>
    <t>แผนงานสังคม</t>
  </si>
  <si>
    <t>แผนงานเคหะ</t>
  </si>
  <si>
    <t>แผนงานการเกษตร</t>
  </si>
  <si>
    <t>แผนงานงบกลาง</t>
  </si>
  <si>
    <t>สงบภายใน</t>
  </si>
  <si>
    <t>00210</t>
  </si>
  <si>
    <t>00220</t>
  </si>
  <si>
    <t>สงเคราะห์</t>
  </si>
  <si>
    <t>และชุมชน</t>
  </si>
  <si>
    <t>00111</t>
  </si>
  <si>
    <t>001  รายจ่ายตามข้อผูกพัน</t>
  </si>
  <si>
    <t>002  เงินสำรองจ่าย</t>
  </si>
  <si>
    <t>003 เงินช่วยเหลืองบเฉพาะการ</t>
  </si>
  <si>
    <t>255  ค่าธรรมเนียมทิ้งขยะ</t>
  </si>
  <si>
    <t>272   วัสดุไฟฟ้าและวิทยุ</t>
  </si>
  <si>
    <t xml:space="preserve">275  วัสดุยานพาหนะและขนส่ง </t>
  </si>
  <si>
    <t>277  วัสดุวิทยาศาสตร์การแพทย์</t>
  </si>
  <si>
    <t>278  วัสดุการเกษตร</t>
  </si>
  <si>
    <t>279   วัสดุโฆษณาและเผยแพร่</t>
  </si>
  <si>
    <t>281  วัสดุกีฬา</t>
  </si>
  <si>
    <t>283  วัสดุการศึกษา</t>
  </si>
  <si>
    <t>284  อาหารเสริม (นม)</t>
  </si>
  <si>
    <t>285  อาหารกลางวัน</t>
  </si>
  <si>
    <t>ร้อยเอก……………………………………..</t>
  </si>
  <si>
    <t xml:space="preserve"> </t>
  </si>
  <si>
    <t>..............................................................</t>
  </si>
  <si>
    <t>รองปลัดองค์การบริหารส่วนตำบลบ้านใหม่</t>
  </si>
  <si>
    <t>รักษาการแทน  หัวหน้าส่วนการคลัง</t>
  </si>
  <si>
    <t>ณ  วันที่  30  กันยายน  2552</t>
  </si>
  <si>
    <t>เงินอุดหนุนเฉพาะกิจ (อาหารเสริมนม ป.5-6)</t>
  </si>
  <si>
    <t>โครงการก่อสร้างรางระบายน้ำ คศล.   ม. 1</t>
  </si>
  <si>
    <t>โครงการก่อสร้างรางระบายน้ำ คศล.   ม. 4</t>
  </si>
  <si>
    <t>โครงการก่อสร้างถนนคอนกรีตเสริมเหล็ก   ม. 5</t>
  </si>
  <si>
    <t>โครงการก่อสร้างวางท่อระบายน้ำ คศล.   ม. 6</t>
  </si>
  <si>
    <t>โครงการก่อสร้างรางระบายน้ำ คศล.   ม. 10</t>
  </si>
  <si>
    <t>โครงการก่อสร้างวางท่อระบายน้ำ คศล.   ม. 12</t>
  </si>
  <si>
    <t>รวมเงินสะสมยกไป  1  ต.ค. 2552</t>
  </si>
  <si>
    <t>เงินสะสมยกมา  1  ต.ค. 2551</t>
  </si>
  <si>
    <t>ณ  วันที่  30  กันยายน  พ.ศ.2552</t>
  </si>
  <si>
    <t xml:space="preserve">        ...........................................................</t>
  </si>
  <si>
    <t xml:space="preserve">           ร้อยเอก...................................................</t>
  </si>
  <si>
    <t xml:space="preserve">                (นางสาวสุรีย์    พิมพ์ปรุ)</t>
  </si>
  <si>
    <t xml:space="preserve">                        (สุพรชัย   เศวตมาลย์)</t>
  </si>
  <si>
    <t xml:space="preserve">              รองปลัดองค์การบริหารส่วนตำบล  รักษาการแทน</t>
  </si>
  <si>
    <t xml:space="preserve">            ปลัดองค์การบริหารส่วนตำบลบ้านใหม่</t>
  </si>
  <si>
    <t xml:space="preserve">               หัวหน้าส่วนการคลัง</t>
  </si>
  <si>
    <t xml:space="preserve">                          ...........................................................</t>
  </si>
  <si>
    <t xml:space="preserve">                                   (นายไพโรจน์   พึ่งทหาร)</t>
  </si>
  <si>
    <t xml:space="preserve">                         นายกองค์การบริหารส่วนตำบลบ้านใหม่</t>
  </si>
  <si>
    <t>ลูกหนี้ค้างชำระภาษีบำรุงท้องที่ ปี 2550</t>
  </si>
  <si>
    <t>ณ วันที่ 30 กันยายน พ.ศ. 2552</t>
  </si>
  <si>
    <t>ลำ</t>
  </si>
  <si>
    <t xml:space="preserve">ลูกหนี้ </t>
  </si>
  <si>
    <t>จำนวนเงิน</t>
  </si>
  <si>
    <t>ดับ</t>
  </si>
  <si>
    <t>ทั้งสิ้น</t>
  </si>
  <si>
    <t>นาลโคกสูง</t>
  </si>
  <si>
    <t>ทะเบียนลูกหนี้</t>
  </si>
  <si>
    <t>ลูกหนี้ค้างชำระภาษีบำรุงท้องที่  ปี  2551</t>
  </si>
  <si>
    <t>ณ วันที่ 30 กันยายน พ.ศ.2552</t>
  </si>
  <si>
    <t>ลูกหนี้ค้างชำระภาษีบำรุงท้องที่  ปี 2552</t>
  </si>
  <si>
    <t>นายบุญเลิศ</t>
  </si>
  <si>
    <t>นางสายทอง</t>
  </si>
  <si>
    <t>เสียงใหม่</t>
  </si>
  <si>
    <t>นางสาวแฮะ</t>
  </si>
  <si>
    <t>นางสาวฝอย</t>
  </si>
  <si>
    <t>นายประเทือง</t>
  </si>
  <si>
    <t>แรงใหม่</t>
  </si>
  <si>
    <t>นางศรีสุพจน์</t>
  </si>
  <si>
    <t>ทั่วสูงเนิน</t>
  </si>
  <si>
    <t>นางสุรัตน์</t>
  </si>
  <si>
    <t>เกตุบรรลุ</t>
  </si>
  <si>
    <t>3/2</t>
  </si>
  <si>
    <t>น.ส.ปลั่ง</t>
  </si>
  <si>
    <t xml:space="preserve">น.ส.วิวรรณ์ </t>
  </si>
  <si>
    <t>นางยุพา</t>
  </si>
  <si>
    <t>เจษฎาพัทยา</t>
  </si>
  <si>
    <t>23/6</t>
  </si>
  <si>
    <t>นางนาค</t>
  </si>
  <si>
    <t>วงศ์จอม</t>
  </si>
  <si>
    <t>นางประทุม</t>
  </si>
  <si>
    <t>นางศุภจิต</t>
  </si>
  <si>
    <t>สุทธะสิทธุ</t>
  </si>
  <si>
    <t>66/8 ถ.จรัญสนิทวงศ์ แขวงบ้านช่างหล่อ</t>
  </si>
  <si>
    <t>เขตบางกอกน้อย  กทม 10700</t>
  </si>
  <si>
    <t>รายชื่อลูกหนี้ค้างชำระภาษีโรงเรือนและที่ดิน</t>
  </si>
  <si>
    <t>( ข้อมูล  ณ  วันที่  30  กันยายน  2552)</t>
  </si>
  <si>
    <t>ชื่อ   -  สกุล</t>
  </si>
  <si>
    <t>ปี พ.ศ.</t>
  </si>
  <si>
    <t>หมายเหตุ</t>
  </si>
  <si>
    <t>สต.</t>
  </si>
  <si>
    <t>นางสาวทวีพร</t>
  </si>
  <si>
    <t>176  หมู่ 10</t>
  </si>
  <si>
    <t>รวม  1  ราย</t>
  </si>
  <si>
    <t>...........................................................</t>
  </si>
  <si>
    <t xml:space="preserve">   ร้อยเอก...................................................</t>
  </si>
  <si>
    <t xml:space="preserve">           (นางสาวสุรีย์    พิมพ์ปรุ)</t>
  </si>
  <si>
    <t xml:space="preserve">                 (สุพรชัย   เศวตมาลย์)</t>
  </si>
  <si>
    <t xml:space="preserve">           รองปลัดองค์การบริหารส่วนตำบล  รักษาการแทน</t>
  </si>
  <si>
    <t xml:space="preserve">      ปลัดองค์การบริหารส่วนตำบลบ้านใหม่</t>
  </si>
  <si>
    <t xml:space="preserve">           ...........................................................</t>
  </si>
  <si>
    <t xml:space="preserve">                   (นายไพโรจน์   พึ่งทหาร)</t>
  </si>
  <si>
    <t xml:space="preserve">         นายกองค์การบริหารส่วนตำบลบ้านใหม่</t>
  </si>
  <si>
    <t>ตั้งแต่วันที่  1  ตุลาคม  2551  ถึงวันที่  30  กันยายน  2552</t>
  </si>
  <si>
    <t>เงินสำรองรายรับ ปี 2551 เหลือจ่าย</t>
  </si>
  <si>
    <t>งบรายรับ - รายจ่ายตามงบประมาณ  ประจำปี  2552</t>
  </si>
  <si>
    <t>-ครุภัณฑ์ศูนย์เด็กเล็ก</t>
  </si>
  <si>
    <t>สำหรับปีงบประมาณ 2552 ตั้งแต่วันที่  1  ตุลาคม  2551  ถึงวันที่  30  กันยายน  2552</t>
  </si>
  <si>
    <t>ภาษีมูลค่าเพิ่ม พรบ.</t>
  </si>
  <si>
    <t>ภาษีมูลค่าเพิ่ม 1 ใน 9</t>
  </si>
  <si>
    <t>(87)</t>
  </si>
  <si>
    <t>1003</t>
  </si>
  <si>
    <t>จ่ายเงินอุดหนุนที่รัฐบาลให้โดยระบุวัตถุประสงค์</t>
  </si>
  <si>
    <t>รายจ่ายเงินอุดหนุนเฉพาะกิจ</t>
  </si>
  <si>
    <t xml:space="preserve">ปลัดองค์การบริหารส่วนตำบลบ้านใหม่ </t>
  </si>
  <si>
    <t>สำหรับปีงบประมาณ 2552 ตั้งแต่วันที่  1  ตุลาคม 2551 สิ้นสุดวันที่  30 กันยายน 2552</t>
  </si>
  <si>
    <t>เงินอุดหนุน (เบี้ยยังชีพ)</t>
  </si>
  <si>
    <t>รายละเอียดการโอนเปลี่ยนแปลงงบประมาณรายจ่าย ประจำปี 2552</t>
  </si>
  <si>
    <t>ส่วนการคลัง</t>
  </si>
  <si>
    <t>ส่วนสาธารณสุข</t>
  </si>
  <si>
    <t>ส่วนโยธา</t>
  </si>
  <si>
    <t>เปลี่ยนแปลงคำชี้แจง</t>
  </si>
  <si>
    <t>ครั้งที่ 1</t>
  </si>
  <si>
    <t>ครั้งที่ 2</t>
  </si>
  <si>
    <t>ครั้งที่ 3</t>
  </si>
  <si>
    <t>ส่วนการศึกษา</t>
  </si>
  <si>
    <t>ส่วนสำนักปลัด</t>
  </si>
  <si>
    <t>หมวดรายจ่าย</t>
  </si>
  <si>
    <t>หน่วยงาน</t>
  </si>
  <si>
    <t>ตามข้อบัญญัติ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</si>
</sst>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+_-* #,##0.00_-;\-* #,##0.00_-;_-* &quot;-&quot;??_-;_-@_-"/>
    <numFmt numFmtId="200" formatCode="0.0"/>
    <numFmt numFmtId="201" formatCode="_-* #,##0.0_-;\-* #,##0.0_-;_-* &quot;-&quot;??_-;_-@_-"/>
    <numFmt numFmtId="202" formatCode="_-* #,##0_-;\-* #,##0_-;_-* &quot;-&quot;??_-;_-@_-"/>
    <numFmt numFmtId="203" formatCode="#,##0.00_ ;\-#,##0.00\ "/>
    <numFmt numFmtId="204" formatCode="_-* #,##0.000_-;\-* #,##0.000_-;_-* &quot;-&quot;??_-;_-@_-"/>
  </numFmts>
  <fonts count="30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5"/>
      <name val="Angsana New"/>
      <family val="1"/>
    </font>
    <font>
      <b/>
      <u val="single"/>
      <sz val="16"/>
      <name val="Angsana New"/>
      <family val="1"/>
    </font>
    <font>
      <u val="singleAccounting"/>
      <sz val="16"/>
      <name val="Angsana New"/>
      <family val="1"/>
    </font>
    <font>
      <b/>
      <u val="doubleAccounting"/>
      <sz val="16"/>
      <name val="Angsana New"/>
      <family val="1"/>
    </font>
    <font>
      <b/>
      <sz val="15"/>
      <name val="Angsana New"/>
      <family val="1"/>
    </font>
    <font>
      <sz val="13"/>
      <name val="Angsana New"/>
      <family val="1"/>
    </font>
    <font>
      <u val="single"/>
      <sz val="16"/>
      <name val="Angsana New"/>
      <family val="1"/>
    </font>
    <font>
      <sz val="14"/>
      <name val="Angsana New"/>
      <family val="1"/>
    </font>
    <font>
      <sz val="16"/>
      <name val="Cordia New"/>
      <family val="2"/>
    </font>
    <font>
      <u val="doubleAccounting"/>
      <sz val="16"/>
      <name val="Angsana New"/>
      <family val="1"/>
    </font>
    <font>
      <sz val="15"/>
      <color indexed="10"/>
      <name val="Angsana New"/>
      <family val="1"/>
    </font>
    <font>
      <sz val="16"/>
      <color indexed="10"/>
      <name val="Angsana New"/>
      <family val="1"/>
    </font>
    <font>
      <b/>
      <sz val="14"/>
      <name val="Angsana New"/>
      <family val="1"/>
    </font>
    <font>
      <sz val="14"/>
      <color indexed="10"/>
      <name val="Angsana New"/>
      <family val="1"/>
    </font>
    <font>
      <sz val="12"/>
      <name val="Angsana New"/>
      <family val="1"/>
    </font>
    <font>
      <b/>
      <sz val="16"/>
      <color indexed="10"/>
      <name val="Angsana New"/>
      <family val="1"/>
    </font>
    <font>
      <sz val="10"/>
      <name val="Angsana New"/>
      <family val="1"/>
    </font>
    <font>
      <sz val="11"/>
      <name val="Angsana New"/>
      <family val="1"/>
    </font>
    <font>
      <sz val="8"/>
      <name val="Cordia New"/>
      <family val="0"/>
    </font>
    <font>
      <sz val="16"/>
      <color indexed="12"/>
      <name val="Angsana New"/>
      <family val="1"/>
    </font>
    <font>
      <b/>
      <sz val="17"/>
      <name val="Angsana New"/>
      <family val="1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Cordia New"/>
      <family val="0"/>
    </font>
    <font>
      <b/>
      <sz val="8"/>
      <name val="Cordia New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15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43" fontId="2" fillId="0" borderId="2" xfId="15" applyFont="1" applyBorder="1" applyAlignment="1">
      <alignment/>
    </xf>
    <xf numFmtId="0" fontId="2" fillId="0" borderId="3" xfId="0" applyFont="1" applyBorder="1" applyAlignment="1">
      <alignment/>
    </xf>
    <xf numFmtId="43" fontId="2" fillId="0" borderId="3" xfId="15" applyFont="1" applyBorder="1" applyAlignment="1">
      <alignment/>
    </xf>
    <xf numFmtId="43" fontId="2" fillId="0" borderId="4" xfId="15" applyFont="1" applyBorder="1" applyAlignment="1">
      <alignment/>
    </xf>
    <xf numFmtId="43" fontId="3" fillId="0" borderId="5" xfId="15" applyFont="1" applyBorder="1" applyAlignment="1">
      <alignment/>
    </xf>
    <xf numFmtId="43" fontId="2" fillId="0" borderId="0" xfId="15" applyFont="1" applyAlignment="1">
      <alignment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4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43" fontId="2" fillId="0" borderId="6" xfId="15" applyFont="1" applyBorder="1" applyAlignment="1">
      <alignment/>
    </xf>
    <xf numFmtId="0" fontId="2" fillId="0" borderId="7" xfId="0" applyFont="1" applyBorder="1" applyAlignment="1">
      <alignment/>
    </xf>
    <xf numFmtId="43" fontId="2" fillId="0" borderId="7" xfId="15" applyFont="1" applyBorder="1" applyAlignment="1">
      <alignment/>
    </xf>
    <xf numFmtId="199" fontId="2" fillId="0" borderId="7" xfId="15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43" fontId="2" fillId="0" borderId="1" xfId="15" applyFont="1" applyBorder="1" applyAlignment="1">
      <alignment/>
    </xf>
    <xf numFmtId="199" fontId="2" fillId="0" borderId="1" xfId="15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3" fontId="3" fillId="0" borderId="11" xfId="15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3" fontId="2" fillId="0" borderId="13" xfId="15" applyFont="1" applyBorder="1" applyAlignment="1">
      <alignment/>
    </xf>
    <xf numFmtId="43" fontId="3" fillId="0" borderId="1" xfId="15" applyFont="1" applyBorder="1" applyAlignment="1">
      <alignment/>
    </xf>
    <xf numFmtId="43" fontId="3" fillId="0" borderId="3" xfId="15" applyFont="1" applyBorder="1" applyAlignment="1">
      <alignment/>
    </xf>
    <xf numFmtId="43" fontId="2" fillId="0" borderId="14" xfId="15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3" fontId="4" fillId="0" borderId="1" xfId="15" applyFont="1" applyBorder="1" applyAlignment="1">
      <alignment/>
    </xf>
    <xf numFmtId="0" fontId="2" fillId="0" borderId="15" xfId="0" applyFont="1" applyBorder="1" applyAlignment="1">
      <alignment/>
    </xf>
    <xf numFmtId="43" fontId="2" fillId="0" borderId="16" xfId="15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3" fontId="2" fillId="0" borderId="0" xfId="15" applyFont="1" applyBorder="1" applyAlignment="1">
      <alignment/>
    </xf>
    <xf numFmtId="0" fontId="2" fillId="0" borderId="0" xfId="0" applyFont="1" applyBorder="1" applyAlignment="1">
      <alignment horizontal="center"/>
    </xf>
    <xf numFmtId="43" fontId="2" fillId="0" borderId="19" xfId="15" applyFont="1" applyBorder="1" applyAlignment="1">
      <alignment/>
    </xf>
    <xf numFmtId="43" fontId="2" fillId="0" borderId="9" xfId="15" applyFont="1" applyBorder="1" applyAlignment="1">
      <alignment/>
    </xf>
    <xf numFmtId="43" fontId="2" fillId="0" borderId="6" xfId="15" applyFont="1" applyBorder="1" applyAlignment="1">
      <alignment horizontal="center"/>
    </xf>
    <xf numFmtId="43" fontId="2" fillId="0" borderId="5" xfId="15" applyFont="1" applyBorder="1" applyAlignment="1">
      <alignment horizontal="center"/>
    </xf>
    <xf numFmtId="49" fontId="2" fillId="0" borderId="20" xfId="15" applyNumberFormat="1" applyFont="1" applyBorder="1" applyAlignment="1">
      <alignment/>
    </xf>
    <xf numFmtId="49" fontId="2" fillId="0" borderId="21" xfId="15" applyNumberFormat="1" applyFont="1" applyBorder="1" applyAlignment="1">
      <alignment/>
    </xf>
    <xf numFmtId="0" fontId="4" fillId="0" borderId="7" xfId="0" applyFont="1" applyBorder="1" applyAlignment="1">
      <alignment/>
    </xf>
    <xf numFmtId="43" fontId="4" fillId="0" borderId="7" xfId="15" applyFont="1" applyBorder="1" applyAlignment="1">
      <alignment/>
    </xf>
    <xf numFmtId="0" fontId="9" fillId="0" borderId="0" xfId="0" applyFont="1" applyAlignment="1">
      <alignment/>
    </xf>
    <xf numFmtId="43" fontId="6" fillId="0" borderId="0" xfId="15" applyFont="1" applyAlignment="1">
      <alignment/>
    </xf>
    <xf numFmtId="43" fontId="7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3" fontId="2" fillId="0" borderId="24" xfId="15" applyFont="1" applyBorder="1" applyAlignment="1">
      <alignment/>
    </xf>
    <xf numFmtId="43" fontId="2" fillId="0" borderId="25" xfId="15" applyFont="1" applyBorder="1" applyAlignment="1">
      <alignment/>
    </xf>
    <xf numFmtId="0" fontId="10" fillId="0" borderId="7" xfId="0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43" fontId="2" fillId="0" borderId="26" xfId="15" applyFont="1" applyBorder="1" applyAlignment="1">
      <alignment/>
    </xf>
    <xf numFmtId="43" fontId="2" fillId="0" borderId="11" xfId="15" applyFont="1" applyBorder="1" applyAlignment="1">
      <alignment/>
    </xf>
    <xf numFmtId="0" fontId="2" fillId="0" borderId="5" xfId="0" applyFont="1" applyBorder="1" applyAlignment="1">
      <alignment/>
    </xf>
    <xf numFmtId="0" fontId="10" fillId="0" borderId="19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199" fontId="4" fillId="0" borderId="7" xfId="15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199" fontId="4" fillId="0" borderId="1" xfId="15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3" fontId="8" fillId="0" borderId="1" xfId="15" applyFont="1" applyBorder="1" applyAlignment="1">
      <alignment/>
    </xf>
    <xf numFmtId="0" fontId="8" fillId="0" borderId="8" xfId="0" applyFont="1" applyBorder="1" applyAlignment="1">
      <alignment horizontal="center"/>
    </xf>
    <xf numFmtId="199" fontId="8" fillId="0" borderId="1" xfId="15" applyNumberFormat="1" applyFont="1" applyBorder="1" applyAlignment="1">
      <alignment/>
    </xf>
    <xf numFmtId="0" fontId="8" fillId="0" borderId="0" xfId="0" applyFont="1" applyAlignment="1">
      <alignment/>
    </xf>
    <xf numFmtId="49" fontId="4" fillId="0" borderId="8" xfId="0" applyNumberFormat="1" applyFont="1" applyBorder="1" applyAlignment="1">
      <alignment/>
    </xf>
    <xf numFmtId="49" fontId="4" fillId="0" borderId="8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4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43" fontId="12" fillId="0" borderId="0" xfId="15" applyFont="1" applyAlignment="1">
      <alignment/>
    </xf>
    <xf numFmtId="43" fontId="12" fillId="0" borderId="0" xfId="15" applyNumberFormat="1" applyFont="1" applyAlignment="1">
      <alignment/>
    </xf>
    <xf numFmtId="0" fontId="12" fillId="0" borderId="0" xfId="0" applyFont="1" applyAlignment="1">
      <alignment horizontal="center"/>
    </xf>
    <xf numFmtId="43" fontId="12" fillId="0" borderId="27" xfId="0" applyNumberFormat="1" applyFont="1" applyBorder="1" applyAlignment="1">
      <alignment/>
    </xf>
    <xf numFmtId="43" fontId="13" fillId="0" borderId="0" xfId="15" applyFont="1" applyAlignment="1">
      <alignment/>
    </xf>
    <xf numFmtId="0" fontId="1" fillId="0" borderId="0" xfId="0" applyFont="1" applyAlignment="1">
      <alignment horizontal="center"/>
    </xf>
    <xf numFmtId="43" fontId="3" fillId="0" borderId="0" xfId="15" applyFont="1" applyAlignment="1">
      <alignment horizontal="left"/>
    </xf>
    <xf numFmtId="43" fontId="2" fillId="0" borderId="0" xfId="0" applyNumberFormat="1" applyFont="1" applyAlignment="1">
      <alignment/>
    </xf>
    <xf numFmtId="43" fontId="13" fillId="0" borderId="0" xfId="0" applyNumberFormat="1" applyFont="1" applyAlignment="1">
      <alignment/>
    </xf>
    <xf numFmtId="43" fontId="3" fillId="0" borderId="0" xfId="15" applyFont="1" applyAlignment="1">
      <alignment/>
    </xf>
    <xf numFmtId="0" fontId="10" fillId="0" borderId="0" xfId="0" applyFont="1" applyAlignment="1">
      <alignment horizontal="center"/>
    </xf>
    <xf numFmtId="43" fontId="7" fillId="0" borderId="0" xfId="15" applyFont="1" applyAlignment="1">
      <alignment/>
    </xf>
    <xf numFmtId="0" fontId="2" fillId="0" borderId="0" xfId="0" applyFont="1" applyAlignment="1">
      <alignment horizontal="centerContinuous"/>
    </xf>
    <xf numFmtId="43" fontId="2" fillId="0" borderId="0" xfId="15" applyFont="1" applyAlignment="1">
      <alignment horizontal="right"/>
    </xf>
    <xf numFmtId="43" fontId="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43" fontId="2" fillId="0" borderId="0" xfId="15" applyFont="1" applyBorder="1" applyAlignment="1">
      <alignment horizontal="center"/>
    </xf>
    <xf numFmtId="43" fontId="2" fillId="0" borderId="7" xfId="0" applyNumberFormat="1" applyFont="1" applyBorder="1" applyAlignment="1">
      <alignment/>
    </xf>
    <xf numFmtId="43" fontId="2" fillId="0" borderId="8" xfId="15" applyFont="1" applyBorder="1" applyAlignment="1">
      <alignment/>
    </xf>
    <xf numFmtId="0" fontId="2" fillId="0" borderId="0" xfId="0" applyFont="1" applyBorder="1" applyAlignment="1">
      <alignment horizontal="left"/>
    </xf>
    <xf numFmtId="43" fontId="2" fillId="0" borderId="11" xfId="0" applyNumberFormat="1" applyFont="1" applyBorder="1" applyAlignment="1">
      <alignment/>
    </xf>
    <xf numFmtId="203" fontId="7" fillId="0" borderId="0" xfId="0" applyNumberFormat="1" applyFont="1" applyAlignment="1">
      <alignment horizontal="center"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3" fontId="2" fillId="0" borderId="13" xfId="15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3" fontId="2" fillId="0" borderId="3" xfId="15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49" fontId="11" fillId="0" borderId="6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6" fillId="0" borderId="7" xfId="0" applyNumberFormat="1" applyFont="1" applyBorder="1" applyAlignment="1">
      <alignment/>
    </xf>
    <xf numFmtId="43" fontId="11" fillId="0" borderId="7" xfId="15" applyFont="1" applyFill="1" applyBorder="1" applyAlignment="1">
      <alignment/>
    </xf>
    <xf numFmtId="43" fontId="11" fillId="0" borderId="7" xfId="15" applyFont="1" applyBorder="1" applyAlignment="1">
      <alignment/>
    </xf>
    <xf numFmtId="49" fontId="11" fillId="0" borderId="2" xfId="0" applyNumberFormat="1" applyFont="1" applyBorder="1" applyAlignment="1">
      <alignment/>
    </xf>
    <xf numFmtId="43" fontId="11" fillId="0" borderId="2" xfId="15" applyFont="1" applyFill="1" applyBorder="1" applyAlignment="1">
      <alignment/>
    </xf>
    <xf numFmtId="43" fontId="11" fillId="0" borderId="2" xfId="15" applyFont="1" applyBorder="1" applyAlignment="1">
      <alignment/>
    </xf>
    <xf numFmtId="49" fontId="11" fillId="0" borderId="3" xfId="0" applyNumberFormat="1" applyFont="1" applyBorder="1" applyAlignment="1">
      <alignment horizontal="center"/>
    </xf>
    <xf numFmtId="43" fontId="11" fillId="0" borderId="3" xfId="15" applyFont="1" applyFill="1" applyBorder="1" applyAlignment="1">
      <alignment/>
    </xf>
    <xf numFmtId="43" fontId="11" fillId="0" borderId="3" xfId="15" applyFont="1" applyBorder="1" applyAlignment="1">
      <alignment/>
    </xf>
    <xf numFmtId="49" fontId="16" fillId="0" borderId="14" xfId="0" applyNumberFormat="1" applyFont="1" applyBorder="1" applyAlignment="1">
      <alignment/>
    </xf>
    <xf numFmtId="43" fontId="11" fillId="0" borderId="14" xfId="15" applyFont="1" applyFill="1" applyBorder="1" applyAlignment="1">
      <alignment/>
    </xf>
    <xf numFmtId="43" fontId="11" fillId="0" borderId="14" xfId="15" applyFont="1" applyBorder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49" fontId="11" fillId="0" borderId="7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1" fillId="0" borderId="4" xfId="0" applyNumberFormat="1" applyFont="1" applyBorder="1" applyAlignment="1">
      <alignment horizontal="center"/>
    </xf>
    <xf numFmtId="43" fontId="11" fillId="0" borderId="4" xfId="15" applyFont="1" applyFill="1" applyBorder="1" applyAlignment="1">
      <alignment/>
    </xf>
    <xf numFmtId="43" fontId="11" fillId="0" borderId="4" xfId="15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3" xfId="0" applyFont="1" applyBorder="1" applyAlignment="1">
      <alignment horizontal="center"/>
    </xf>
    <xf numFmtId="2" fontId="11" fillId="0" borderId="3" xfId="0" applyNumberFormat="1" applyFont="1" applyBorder="1" applyAlignment="1">
      <alignment/>
    </xf>
    <xf numFmtId="0" fontId="11" fillId="0" borderId="3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right"/>
    </xf>
    <xf numFmtId="0" fontId="11" fillId="0" borderId="7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43" fontId="11" fillId="0" borderId="1" xfId="0" applyNumberFormat="1" applyFont="1" applyBorder="1" applyAlignment="1">
      <alignment horizontal="left"/>
    </xf>
    <xf numFmtId="0" fontId="11" fillId="0" borderId="0" xfId="0" applyFont="1" applyAlignment="1">
      <alignment/>
    </xf>
    <xf numFmtId="43" fontId="2" fillId="0" borderId="28" xfId="15" applyFont="1" applyBorder="1" applyAlignment="1">
      <alignment/>
    </xf>
    <xf numFmtId="43" fontId="2" fillId="0" borderId="13" xfId="15" applyFont="1" applyBorder="1" applyAlignment="1">
      <alignment horizontal="right"/>
    </xf>
    <xf numFmtId="43" fontId="3" fillId="0" borderId="1" xfId="15" applyFont="1" applyBorder="1" applyAlignment="1">
      <alignment horizontal="center"/>
    </xf>
    <xf numFmtId="194" fontId="2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0" fontId="11" fillId="0" borderId="17" xfId="0" applyFont="1" applyFill="1" applyBorder="1" applyAlignment="1">
      <alignment/>
    </xf>
    <xf numFmtId="49" fontId="11" fillId="0" borderId="3" xfId="0" applyNumberFormat="1" applyFont="1" applyBorder="1" applyAlignment="1">
      <alignment horizontal="center"/>
    </xf>
    <xf numFmtId="43" fontId="15" fillId="0" borderId="0" xfId="15" applyFont="1" applyAlignment="1">
      <alignment/>
    </xf>
    <xf numFmtId="49" fontId="11" fillId="0" borderId="2" xfId="0" applyNumberFormat="1" applyFont="1" applyBorder="1" applyAlignment="1">
      <alignment horizontal="center"/>
    </xf>
    <xf numFmtId="43" fontId="15" fillId="0" borderId="0" xfId="15" applyFont="1" applyFill="1" applyBorder="1" applyAlignment="1">
      <alignment/>
    </xf>
    <xf numFmtId="43" fontId="15" fillId="0" borderId="0" xfId="0" applyNumberFormat="1" applyFont="1" applyBorder="1" applyAlignment="1">
      <alignment/>
    </xf>
    <xf numFmtId="43" fontId="3" fillId="0" borderId="0" xfId="15" applyFont="1" applyBorder="1" applyAlignment="1">
      <alignment/>
    </xf>
    <xf numFmtId="43" fontId="19" fillId="0" borderId="0" xfId="15" applyFont="1" applyBorder="1" applyAlignment="1">
      <alignment/>
    </xf>
    <xf numFmtId="0" fontId="2" fillId="0" borderId="29" xfId="0" applyFont="1" applyBorder="1" applyAlignment="1">
      <alignment/>
    </xf>
    <xf numFmtId="49" fontId="2" fillId="0" borderId="30" xfId="15" applyNumberFormat="1" applyFont="1" applyBorder="1" applyAlignment="1">
      <alignment/>
    </xf>
    <xf numFmtId="43" fontId="15" fillId="0" borderId="0" xfId="0" applyNumberFormat="1" applyFont="1" applyAlignment="1">
      <alignment/>
    </xf>
    <xf numFmtId="43" fontId="2" fillId="0" borderId="8" xfId="0" applyNumberFormat="1" applyFont="1" applyBorder="1" applyAlignment="1">
      <alignment/>
    </xf>
    <xf numFmtId="43" fontId="2" fillId="0" borderId="7" xfId="15" applyFont="1" applyBorder="1" applyAlignment="1">
      <alignment horizontal="center"/>
    </xf>
    <xf numFmtId="43" fontId="2" fillId="0" borderId="0" xfId="0" applyNumberFormat="1" applyFont="1" applyBorder="1" applyAlignment="1">
      <alignment/>
    </xf>
    <xf numFmtId="43" fontId="15" fillId="0" borderId="8" xfId="0" applyNumberFormat="1" applyFont="1" applyBorder="1" applyAlignment="1">
      <alignment/>
    </xf>
    <xf numFmtId="0" fontId="2" fillId="0" borderId="4" xfId="0" applyFont="1" applyBorder="1" applyAlignment="1">
      <alignment/>
    </xf>
    <xf numFmtId="203" fontId="2" fillId="0" borderId="27" xfId="15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Fill="1" applyAlignment="1">
      <alignment horizontal="center"/>
    </xf>
    <xf numFmtId="43" fontId="2" fillId="0" borderId="31" xfId="15" applyFont="1" applyBorder="1" applyAlignment="1">
      <alignment/>
    </xf>
    <xf numFmtId="0" fontId="11" fillId="0" borderId="7" xfId="0" applyFont="1" applyBorder="1" applyAlignment="1">
      <alignment/>
    </xf>
    <xf numFmtId="49" fontId="11" fillId="0" borderId="0" xfId="0" applyNumberFormat="1" applyFont="1" applyFill="1" applyAlignment="1">
      <alignment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3" xfId="0" applyFont="1" applyBorder="1" applyAlignment="1">
      <alignment horizontal="right"/>
    </xf>
    <xf numFmtId="0" fontId="11" fillId="0" borderId="17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20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9" fontId="2" fillId="0" borderId="33" xfId="15" applyNumberFormat="1" applyFont="1" applyBorder="1" applyAlignment="1">
      <alignment/>
    </xf>
    <xf numFmtId="0" fontId="11" fillId="0" borderId="4" xfId="0" applyFont="1" applyBorder="1" applyAlignment="1">
      <alignment horizontal="center"/>
    </xf>
    <xf numFmtId="199" fontId="2" fillId="0" borderId="5" xfId="15" applyNumberFormat="1" applyFont="1" applyBorder="1" applyAlignment="1">
      <alignment/>
    </xf>
    <xf numFmtId="199" fontId="2" fillId="0" borderId="6" xfId="15" applyNumberFormat="1" applyFont="1" applyBorder="1" applyAlignment="1">
      <alignment/>
    </xf>
    <xf numFmtId="43" fontId="2" fillId="0" borderId="5" xfId="15" applyFont="1" applyBorder="1" applyAlignment="1">
      <alignment/>
    </xf>
    <xf numFmtId="43" fontId="6" fillId="0" borderId="0" xfId="15" applyFont="1" applyAlignment="1">
      <alignment horizontal="right"/>
    </xf>
    <xf numFmtId="39" fontId="2" fillId="0" borderId="0" xfId="15" applyNumberFormat="1" applyFont="1" applyAlignment="1">
      <alignment horizontal="right"/>
    </xf>
    <xf numFmtId="203" fontId="2" fillId="0" borderId="0" xfId="15" applyNumberFormat="1" applyFont="1" applyAlignment="1">
      <alignment horizontal="right"/>
    </xf>
    <xf numFmtId="203" fontId="2" fillId="0" borderId="0" xfId="15" applyNumberFormat="1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2" fontId="11" fillId="0" borderId="14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/>
    </xf>
    <xf numFmtId="203" fontId="2" fillId="0" borderId="31" xfId="15" applyNumberFormat="1" applyFont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43" fontId="23" fillId="0" borderId="0" xfId="0" applyNumberFormat="1" applyFont="1" applyBorder="1" applyAlignment="1">
      <alignment/>
    </xf>
    <xf numFmtId="0" fontId="11" fillId="0" borderId="1" xfId="0" applyFont="1" applyFill="1" applyBorder="1" applyAlignment="1">
      <alignment horizontal="center"/>
    </xf>
    <xf numFmtId="49" fontId="11" fillId="0" borderId="7" xfId="0" applyNumberFormat="1" applyFont="1" applyBorder="1" applyAlignment="1">
      <alignment/>
    </xf>
    <xf numFmtId="49" fontId="16" fillId="0" borderId="7" xfId="0" applyNumberFormat="1" applyFont="1" applyBorder="1" applyAlignment="1">
      <alignment/>
    </xf>
    <xf numFmtId="43" fontId="11" fillId="0" borderId="7" xfId="15" applyFont="1" applyFill="1" applyBorder="1" applyAlignment="1">
      <alignment/>
    </xf>
    <xf numFmtId="43" fontId="11" fillId="0" borderId="9" xfId="15" applyFont="1" applyFill="1" applyBorder="1" applyAlignment="1">
      <alignment/>
    </xf>
    <xf numFmtId="43" fontId="11" fillId="0" borderId="0" xfId="15" applyFont="1" applyFill="1" applyBorder="1" applyAlignment="1">
      <alignment/>
    </xf>
    <xf numFmtId="49" fontId="16" fillId="0" borderId="4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3" fontId="11" fillId="0" borderId="0" xfId="15" applyFont="1" applyBorder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Border="1" applyAlignment="1">
      <alignment/>
    </xf>
    <xf numFmtId="43" fontId="3" fillId="0" borderId="0" xfId="0" applyNumberFormat="1" applyFont="1" applyAlignment="1">
      <alignment/>
    </xf>
    <xf numFmtId="43" fontId="2" fillId="0" borderId="0" xfId="15" applyFont="1" applyAlignment="1">
      <alignment/>
    </xf>
    <xf numFmtId="49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43" fontId="11" fillId="0" borderId="13" xfId="15" applyFont="1" applyBorder="1" applyAlignment="1">
      <alignment horizontal="right"/>
    </xf>
    <xf numFmtId="0" fontId="11" fillId="0" borderId="3" xfId="0" applyFont="1" applyBorder="1" applyAlignment="1">
      <alignment horizontal="left"/>
    </xf>
    <xf numFmtId="43" fontId="11" fillId="0" borderId="3" xfId="15" applyFont="1" applyBorder="1" applyAlignment="1">
      <alignment horizontal="right"/>
    </xf>
    <xf numFmtId="49" fontId="11" fillId="0" borderId="4" xfId="0" applyNumberFormat="1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43" fontId="11" fillId="0" borderId="4" xfId="15" applyFont="1" applyBorder="1" applyAlignment="1">
      <alignment horizontal="right"/>
    </xf>
    <xf numFmtId="9" fontId="11" fillId="0" borderId="6" xfId="0" applyNumberFormat="1" applyFont="1" applyBorder="1" applyAlignment="1">
      <alignment horizontal="center"/>
    </xf>
    <xf numFmtId="9" fontId="11" fillId="0" borderId="5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2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2" fontId="11" fillId="0" borderId="3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2" fontId="25" fillId="0" borderId="0" xfId="0" applyNumberFormat="1" applyFont="1" applyBorder="1" applyAlignment="1">
      <alignment/>
    </xf>
    <xf numFmtId="0" fontId="11" fillId="0" borderId="6" xfId="0" applyFont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wrapText="1" shrinkToFit="1"/>
    </xf>
    <xf numFmtId="2" fontId="11" fillId="0" borderId="13" xfId="0" applyNumberFormat="1" applyFont="1" applyBorder="1" applyAlignment="1">
      <alignment/>
    </xf>
    <xf numFmtId="2" fontId="11" fillId="0" borderId="13" xfId="0" applyNumberFormat="1" applyFont="1" applyBorder="1" applyAlignment="1">
      <alignment horizontal="right"/>
    </xf>
    <xf numFmtId="0" fontId="20" fillId="0" borderId="3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1" fillId="0" borderId="20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/>
    </xf>
    <xf numFmtId="0" fontId="11" fillId="0" borderId="3" xfId="0" applyFont="1" applyFill="1" applyBorder="1" applyAlignment="1">
      <alignment/>
    </xf>
    <xf numFmtId="49" fontId="0" fillId="0" borderId="3" xfId="0" applyNumberFormat="1" applyBorder="1" applyAlignment="1">
      <alignment horizontal="center"/>
    </xf>
    <xf numFmtId="2" fontId="11" fillId="0" borderId="3" xfId="0" applyNumberFormat="1" applyFont="1" applyFill="1" applyBorder="1" applyAlignment="1">
      <alignment horizontal="right"/>
    </xf>
    <xf numFmtId="0" fontId="11" fillId="0" borderId="29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8" fillId="0" borderId="14" xfId="0" applyFont="1" applyBorder="1" applyAlignment="1">
      <alignment/>
    </xf>
    <xf numFmtId="2" fontId="11" fillId="0" borderId="14" xfId="0" applyNumberFormat="1" applyFont="1" applyFill="1" applyBorder="1" applyAlignment="1">
      <alignment/>
    </xf>
    <xf numFmtId="2" fontId="11" fillId="0" borderId="14" xfId="0" applyNumberFormat="1" applyFont="1" applyFill="1" applyBorder="1" applyAlignment="1">
      <alignment horizontal="right"/>
    </xf>
    <xf numFmtId="2" fontId="16" fillId="0" borderId="1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 horizontal="center"/>
    </xf>
    <xf numFmtId="0" fontId="11" fillId="0" borderId="16" xfId="0" applyFont="1" applyFill="1" applyBorder="1" applyAlignment="1">
      <alignment/>
    </xf>
    <xf numFmtId="0" fontId="11" fillId="0" borderId="21" xfId="0" applyFont="1" applyBorder="1" applyAlignment="1">
      <alignment/>
    </xf>
    <xf numFmtId="0" fontId="18" fillId="0" borderId="14" xfId="0" applyFont="1" applyBorder="1" applyAlignment="1">
      <alignment horizontal="center"/>
    </xf>
    <xf numFmtId="2" fontId="16" fillId="0" borderId="11" xfId="0" applyNumberFormat="1" applyFont="1" applyBorder="1" applyAlignment="1">
      <alignment/>
    </xf>
    <xf numFmtId="43" fontId="16" fillId="0" borderId="34" xfId="15" applyFont="1" applyBorder="1" applyAlignment="1">
      <alignment/>
    </xf>
    <xf numFmtId="43" fontId="11" fillId="0" borderId="0" xfId="15" applyFont="1" applyAlignment="1">
      <alignment/>
    </xf>
    <xf numFmtId="0" fontId="11" fillId="0" borderId="19" xfId="0" applyFont="1" applyBorder="1" applyAlignment="1">
      <alignment/>
    </xf>
    <xf numFmtId="0" fontId="11" fillId="0" borderId="10" xfId="0" applyFont="1" applyBorder="1" applyAlignment="1">
      <alignment/>
    </xf>
    <xf numFmtId="43" fontId="11" fillId="0" borderId="6" xfId="15" applyFont="1" applyBorder="1" applyAlignment="1">
      <alignment/>
    </xf>
    <xf numFmtId="0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23" xfId="0" applyFont="1" applyBorder="1" applyAlignment="1">
      <alignment/>
    </xf>
    <xf numFmtId="43" fontId="16" fillId="0" borderId="1" xfId="15" applyFont="1" applyBorder="1" applyAlignment="1">
      <alignment/>
    </xf>
    <xf numFmtId="0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43" fontId="11" fillId="0" borderId="1" xfId="15" applyFont="1" applyFill="1" applyBorder="1" applyAlignment="1">
      <alignment/>
    </xf>
    <xf numFmtId="43" fontId="11" fillId="0" borderId="1" xfId="15" applyFont="1" applyBorder="1" applyAlignment="1">
      <alignment/>
    </xf>
    <xf numFmtId="49" fontId="11" fillId="0" borderId="6" xfId="0" applyNumberFormat="1" applyFont="1" applyBorder="1" applyAlignment="1">
      <alignment/>
    </xf>
    <xf numFmtId="43" fontId="11" fillId="0" borderId="6" xfId="15" applyFont="1" applyFill="1" applyBorder="1" applyAlignment="1">
      <alignment/>
    </xf>
    <xf numFmtId="43" fontId="11" fillId="0" borderId="6" xfId="15" applyFont="1" applyBorder="1" applyAlignment="1">
      <alignment/>
    </xf>
    <xf numFmtId="49" fontId="11" fillId="0" borderId="1" xfId="0" applyNumberFormat="1" applyFont="1" applyBorder="1" applyAlignment="1">
      <alignment horizontal="center"/>
    </xf>
    <xf numFmtId="43" fontId="17" fillId="0" borderId="1" xfId="15" applyFont="1" applyFill="1" applyBorder="1" applyAlignment="1">
      <alignment/>
    </xf>
    <xf numFmtId="43" fontId="3" fillId="0" borderId="6" xfId="15" applyFont="1" applyBorder="1" applyAlignment="1">
      <alignment/>
    </xf>
    <xf numFmtId="199" fontId="2" fillId="0" borderId="0" xfId="15" applyNumberFormat="1" applyFont="1" applyBorder="1" applyAlignment="1">
      <alignment/>
    </xf>
    <xf numFmtId="49" fontId="2" fillId="0" borderId="23" xfId="15" applyNumberFormat="1" applyFont="1" applyBorder="1" applyAlignment="1">
      <alignment/>
    </xf>
    <xf numFmtId="0" fontId="3" fillId="0" borderId="0" xfId="0" applyFont="1" applyBorder="1" applyAlignment="1">
      <alignment/>
    </xf>
    <xf numFmtId="43" fontId="19" fillId="0" borderId="0" xfId="15" applyFont="1" applyBorder="1" applyAlignment="1">
      <alignment/>
    </xf>
    <xf numFmtId="43" fontId="3" fillId="0" borderId="0" xfId="15" applyFont="1" applyBorder="1" applyAlignment="1">
      <alignment/>
    </xf>
    <xf numFmtId="43" fontId="3" fillId="0" borderId="0" xfId="15" applyFont="1" applyBorder="1" applyAlignment="1">
      <alignment horizontal="center"/>
    </xf>
    <xf numFmtId="49" fontId="11" fillId="0" borderId="14" xfId="0" applyNumberFormat="1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 horizontal="center"/>
    </xf>
    <xf numFmtId="43" fontId="0" fillId="0" borderId="13" xfId="15" applyBorder="1" applyAlignment="1">
      <alignment/>
    </xf>
    <xf numFmtId="43" fontId="0" fillId="0" borderId="3" xfId="15" applyBorder="1" applyAlignment="1">
      <alignment/>
    </xf>
    <xf numFmtId="43" fontId="0" fillId="0" borderId="0" xfId="15" applyAlignment="1">
      <alignment/>
    </xf>
    <xf numFmtId="43" fontId="0" fillId="0" borderId="14" xfId="15" applyBorder="1" applyAlignment="1">
      <alignment/>
    </xf>
    <xf numFmtId="43" fontId="0" fillId="0" borderId="0" xfId="0" applyNumberFormat="1" applyAlignment="1">
      <alignment/>
    </xf>
    <xf numFmtId="43" fontId="0" fillId="0" borderId="1" xfId="0" applyNumberFormat="1" applyBorder="1" applyAlignment="1">
      <alignment/>
    </xf>
    <xf numFmtId="0" fontId="28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/>
    </xf>
    <xf numFmtId="43" fontId="0" fillId="0" borderId="1" xfId="15" applyBorder="1" applyAlignment="1">
      <alignment/>
    </xf>
    <xf numFmtId="43" fontId="0" fillId="0" borderId="13" xfId="0" applyNumberFormat="1" applyBorder="1" applyAlignment="1">
      <alignment/>
    </xf>
    <xf numFmtId="43" fontId="0" fillId="0" borderId="3" xfId="0" applyNumberFormat="1" applyBorder="1" applyAlignment="1">
      <alignment/>
    </xf>
    <xf numFmtId="43" fontId="0" fillId="0" borderId="14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5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43" fontId="2" fillId="0" borderId="6" xfId="15" applyFont="1" applyBorder="1" applyAlignment="1">
      <alignment horizontal="center" vertical="center"/>
    </xf>
    <xf numFmtId="43" fontId="2" fillId="0" borderId="5" xfId="15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0</xdr:rowOff>
    </xdr:from>
    <xdr:to>
      <xdr:col>1</xdr:col>
      <xdr:colOff>742950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0"/>
          <a:ext cx="1533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(นางสุรีรัตน์   พูนเพ็ง)
หัวหน้าส่วนการคลัง
</a:t>
          </a:r>
        </a:p>
      </xdr:txBody>
    </xdr:sp>
    <xdr:clientData/>
  </xdr:twoCellAnchor>
  <xdr:twoCellAnchor>
    <xdr:from>
      <xdr:col>1</xdr:col>
      <xdr:colOff>981075</xdr:colOff>
      <xdr:row>0</xdr:row>
      <xdr:rowOff>0</xdr:rowOff>
    </xdr:from>
    <xdr:to>
      <xdr:col>3</xdr:col>
      <xdr:colOff>1743075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19300" y="0"/>
          <a:ext cx="2324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ร้อยเอก………………….……………
(สุพรชัย  เศวตมาลย์)
ปลัดองค์การบริหารส่วนตำบลบ้านใหม่
</a:t>
          </a:r>
        </a:p>
      </xdr:txBody>
    </xdr:sp>
    <xdr:clientData/>
  </xdr:twoCellAnchor>
  <xdr:twoCellAnchor>
    <xdr:from>
      <xdr:col>3</xdr:col>
      <xdr:colOff>1495425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95750" y="0"/>
          <a:ext cx="3200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(นางสุรัตน์   กรใหม่)
นายกองค์การบริหารส่วนตำบลบ้านใหม่
</a:t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3</xdr:col>
      <xdr:colOff>1695450</xdr:colOff>
      <xdr:row>0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505075" y="0"/>
          <a:ext cx="179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(นายเลิศนุวัฒน์   วันสา)
ปลัดองค์การบริหารส่วนตำบล
</a:t>
          </a:r>
        </a:p>
      </xdr:txBody>
    </xdr:sp>
    <xdr:clientData/>
  </xdr:twoCellAnchor>
  <xdr:twoCellAnchor>
    <xdr:from>
      <xdr:col>3</xdr:col>
      <xdr:colOff>1885950</xdr:colOff>
      <xdr:row>0</xdr:row>
      <xdr:rowOff>0</xdr:rowOff>
    </xdr:from>
    <xdr:to>
      <xdr:col>5</xdr:col>
      <xdr:colOff>1104900</xdr:colOff>
      <xdr:row>0</xdr:row>
      <xdr:rowOff>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486275" y="0"/>
          <a:ext cx="2457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(นางสุรัตน์   กรใหม่)
นายกองค์การบริหารส่วนตำบลบ้านใหม่
</a:t>
          </a:r>
        </a:p>
      </xdr:txBody>
    </xdr:sp>
    <xdr:clientData/>
  </xdr:twoCellAnchor>
  <xdr:twoCellAnchor>
    <xdr:from>
      <xdr:col>3</xdr:col>
      <xdr:colOff>1495425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4095750" y="0"/>
          <a:ext cx="3200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(นางสุรัตน์   กรใหม่)
นายกองค์การบริหารส่วนตำบลบ้านใหม่
</a:t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1</xdr:col>
      <xdr:colOff>895350</xdr:colOff>
      <xdr:row>0</xdr:row>
      <xdr:rowOff>0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2952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(นางสุรีรัตน์   บุญหมื่นไวย)
หัวหน้าส่วนการคลัง
</a:t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3</xdr:col>
      <xdr:colOff>1647825</xdr:colOff>
      <xdr:row>0</xdr:row>
      <xdr:rowOff>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2362200" y="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ร.อ………………………….
(สุพรชัย  เศวตมาลย์)
ปลัดองค์การบริหารส่วนตำบล
</a:t>
          </a:r>
        </a:p>
      </xdr:txBody>
    </xdr:sp>
    <xdr:clientData/>
  </xdr:twoCellAnchor>
  <xdr:twoCellAnchor>
    <xdr:from>
      <xdr:col>3</xdr:col>
      <xdr:colOff>1800225</xdr:colOff>
      <xdr:row>0</xdr:row>
      <xdr:rowOff>0</xdr:rowOff>
    </xdr:from>
    <xdr:to>
      <xdr:col>5</xdr:col>
      <xdr:colOff>1162050</xdr:colOff>
      <xdr:row>0</xdr:row>
      <xdr:rowOff>0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4400550" y="0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(นางสุรัตน์   กรใหม่)
นายกองค์การบริหารส่วนตำบลบ้านใหม่
</a:t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3</xdr:col>
      <xdr:colOff>1695450</xdr:colOff>
      <xdr:row>0</xdr:row>
      <xdr:rowOff>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2505075" y="0"/>
          <a:ext cx="179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(นายเลิศนุวัฒน์   วันสา)
ปลัดองค์การบริหารส่วนตำบล
</a:t>
          </a:r>
        </a:p>
      </xdr:txBody>
    </xdr:sp>
    <xdr:clientData/>
  </xdr:twoCellAnchor>
  <xdr:twoCellAnchor>
    <xdr:from>
      <xdr:col>3</xdr:col>
      <xdr:colOff>1885950</xdr:colOff>
      <xdr:row>0</xdr:row>
      <xdr:rowOff>0</xdr:rowOff>
    </xdr:from>
    <xdr:to>
      <xdr:col>5</xdr:col>
      <xdr:colOff>1104900</xdr:colOff>
      <xdr:row>0</xdr:row>
      <xdr:rowOff>0</xdr:rowOff>
    </xdr:to>
    <xdr:sp>
      <xdr:nvSpPr>
        <xdr:cNvPr id="11" name="TextBox 16"/>
        <xdr:cNvSpPr txBox="1">
          <a:spLocks noChangeArrowheads="1"/>
        </xdr:cNvSpPr>
      </xdr:nvSpPr>
      <xdr:spPr>
        <a:xfrm>
          <a:off x="4486275" y="0"/>
          <a:ext cx="2457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(นางสุรัตน์   กรใหม่)
นายกองค์การบริหารส่วนตำบลบ้านใหม่
</a:t>
          </a:r>
        </a:p>
      </xdr:txBody>
    </xdr:sp>
    <xdr:clientData/>
  </xdr:twoCellAnchor>
  <xdr:twoCellAnchor>
    <xdr:from>
      <xdr:col>0</xdr:col>
      <xdr:colOff>666750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666750" y="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(นางธัญญลักษณ์  นรินทร์วรกาล)
หัวหน้าส่วนการคลัง
</a:t>
          </a:r>
        </a:p>
      </xdr:txBody>
    </xdr:sp>
    <xdr:clientData/>
  </xdr:twoCellAnchor>
  <xdr:twoCellAnchor>
    <xdr:from>
      <xdr:col>3</xdr:col>
      <xdr:colOff>962025</xdr:colOff>
      <xdr:row>0</xdr:row>
      <xdr:rowOff>0</xdr:rowOff>
    </xdr:from>
    <xdr:to>
      <xdr:col>5</xdr:col>
      <xdr:colOff>952500</xdr:colOff>
      <xdr:row>0</xdr:row>
      <xdr:rowOff>0</xdr:rowOff>
    </xdr:to>
    <xdr:sp>
      <xdr:nvSpPr>
        <xdr:cNvPr id="13" name="TextBox 18"/>
        <xdr:cNvSpPr txBox="1">
          <a:spLocks noChangeArrowheads="1"/>
        </xdr:cNvSpPr>
      </xdr:nvSpPr>
      <xdr:spPr>
        <a:xfrm>
          <a:off x="3562350" y="0"/>
          <a:ext cx="3228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ร้อยเอก……………………….........
(สุพรชัย  เศวตมาลย์)
ปลัดองค์การบริหารส่วนตำบล ปฏิบัติหน้าที่
นายกองค์การบริหารส่วตำบลบ้านใหม่
</a:t>
          </a:r>
        </a:p>
      </xdr:txBody>
    </xdr:sp>
    <xdr:clientData/>
  </xdr:twoCellAnchor>
  <xdr:twoCellAnchor>
    <xdr:from>
      <xdr:col>0</xdr:col>
      <xdr:colOff>790575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14" name="TextBox 19"/>
        <xdr:cNvSpPr txBox="1">
          <a:spLocks noChangeArrowheads="1"/>
        </xdr:cNvSpPr>
      </xdr:nvSpPr>
      <xdr:spPr>
        <a:xfrm>
          <a:off x="790575" y="0"/>
          <a:ext cx="2247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(นางธัญญลักษณ์  นรินทร์วรกาล)
หัวหน้าส่วนการคลัง
</a:t>
          </a:r>
        </a:p>
      </xdr:txBody>
    </xdr:sp>
    <xdr:clientData/>
  </xdr:twoCellAnchor>
  <xdr:twoCellAnchor>
    <xdr:from>
      <xdr:col>3</xdr:col>
      <xdr:colOff>1047750</xdr:colOff>
      <xdr:row>0</xdr:row>
      <xdr:rowOff>0</xdr:rowOff>
    </xdr:from>
    <xdr:to>
      <xdr:col>5</xdr:col>
      <xdr:colOff>971550</xdr:colOff>
      <xdr:row>0</xdr:row>
      <xdr:rowOff>0</xdr:rowOff>
    </xdr:to>
    <xdr:sp>
      <xdr:nvSpPr>
        <xdr:cNvPr id="15" name="TextBox 20"/>
        <xdr:cNvSpPr txBox="1">
          <a:spLocks noChangeArrowheads="1"/>
        </xdr:cNvSpPr>
      </xdr:nvSpPr>
      <xdr:spPr>
        <a:xfrm>
          <a:off x="3648075" y="0"/>
          <a:ext cx="3162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ร้อยเอก……………………….
(สุพรชัย  เศวตมาลย์)
ปลัดองค์การบริหารส่วนตำบล  ปฏิบัติหน้าที่
นายกองค์การบริหารส่วนตำบลบ้านใหม่
</a:t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3</xdr:col>
      <xdr:colOff>1695450</xdr:colOff>
      <xdr:row>0</xdr:row>
      <xdr:rowOff>0</xdr:rowOff>
    </xdr:to>
    <xdr:sp>
      <xdr:nvSpPr>
        <xdr:cNvPr id="16" name="TextBox 21"/>
        <xdr:cNvSpPr txBox="1">
          <a:spLocks noChangeArrowheads="1"/>
        </xdr:cNvSpPr>
      </xdr:nvSpPr>
      <xdr:spPr>
        <a:xfrm>
          <a:off x="2505075" y="0"/>
          <a:ext cx="179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(นายเลิศนุวัฒน์   วันสา)
ปลัดองค์การบริหารส่วนตำบล
</a:t>
          </a:r>
        </a:p>
      </xdr:txBody>
    </xdr:sp>
    <xdr:clientData/>
  </xdr:twoCellAnchor>
  <xdr:twoCellAnchor>
    <xdr:from>
      <xdr:col>3</xdr:col>
      <xdr:colOff>1885950</xdr:colOff>
      <xdr:row>0</xdr:row>
      <xdr:rowOff>0</xdr:rowOff>
    </xdr:from>
    <xdr:to>
      <xdr:col>5</xdr:col>
      <xdr:colOff>1104900</xdr:colOff>
      <xdr:row>0</xdr:row>
      <xdr:rowOff>0</xdr:rowOff>
    </xdr:to>
    <xdr:sp>
      <xdr:nvSpPr>
        <xdr:cNvPr id="17" name="TextBox 22"/>
        <xdr:cNvSpPr txBox="1">
          <a:spLocks noChangeArrowheads="1"/>
        </xdr:cNvSpPr>
      </xdr:nvSpPr>
      <xdr:spPr>
        <a:xfrm>
          <a:off x="4486275" y="0"/>
          <a:ext cx="2457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(นางสุรัตน์   กรใหม่)
นายกองค์การบริหารส่วนตำบลบ้านใหม่
</a:t>
          </a:r>
        </a:p>
      </xdr:txBody>
    </xdr:sp>
    <xdr:clientData/>
  </xdr:twoCellAnchor>
  <xdr:twoCellAnchor>
    <xdr:from>
      <xdr:col>0</xdr:col>
      <xdr:colOff>9525</xdr:colOff>
      <xdr:row>31</xdr:row>
      <xdr:rowOff>114300</xdr:rowOff>
    </xdr:from>
    <xdr:to>
      <xdr:col>3</xdr:col>
      <xdr:colOff>114300</xdr:colOff>
      <xdr:row>35</xdr:row>
      <xdr:rowOff>209550</xdr:rowOff>
    </xdr:to>
    <xdr:sp>
      <xdr:nvSpPr>
        <xdr:cNvPr id="18" name="TextBox 23"/>
        <xdr:cNvSpPr txBox="1">
          <a:spLocks noChangeArrowheads="1"/>
        </xdr:cNvSpPr>
      </xdr:nvSpPr>
      <xdr:spPr>
        <a:xfrm>
          <a:off x="9525" y="9324975"/>
          <a:ext cx="27051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(นางสาวสุรีย์  พิมพ์ปรุ)
รองปลัดองค์การบริหารส่วนตำบลบ้านใหม่
 รักษาการแทน หัวหน้าส่วนการคลัง
</a:t>
          </a:r>
        </a:p>
      </xdr:txBody>
    </xdr:sp>
    <xdr:clientData/>
  </xdr:twoCellAnchor>
  <xdr:twoCellAnchor>
    <xdr:from>
      <xdr:col>2</xdr:col>
      <xdr:colOff>238125</xdr:colOff>
      <xdr:row>31</xdr:row>
      <xdr:rowOff>114300</xdr:rowOff>
    </xdr:from>
    <xdr:to>
      <xdr:col>3</xdr:col>
      <xdr:colOff>2105025</xdr:colOff>
      <xdr:row>35</xdr:row>
      <xdr:rowOff>200025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2495550" y="9324975"/>
          <a:ext cx="220980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ร้อยเอก……………………….........
(สุพรชัย  เศวตมาลย์)
ปลัดองค์การบริหารส่วนตำบล </a:t>
          </a:r>
        </a:p>
      </xdr:txBody>
    </xdr:sp>
    <xdr:clientData/>
  </xdr:twoCellAnchor>
  <xdr:twoCellAnchor>
    <xdr:from>
      <xdr:col>2</xdr:col>
      <xdr:colOff>247650</xdr:colOff>
      <xdr:row>58</xdr:row>
      <xdr:rowOff>0</xdr:rowOff>
    </xdr:from>
    <xdr:to>
      <xdr:col>3</xdr:col>
      <xdr:colOff>1695450</xdr:colOff>
      <xdr:row>58</xdr:row>
      <xdr:rowOff>28575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2505075" y="17211675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(นายเลิศนุวัฒน์   วันสา)
ปลัดองค์การบริหารส่วนตำบล
</a:t>
          </a:r>
        </a:p>
      </xdr:txBody>
    </xdr:sp>
    <xdr:clientData/>
  </xdr:twoCellAnchor>
  <xdr:twoCellAnchor>
    <xdr:from>
      <xdr:col>3</xdr:col>
      <xdr:colOff>1885950</xdr:colOff>
      <xdr:row>58</xdr:row>
      <xdr:rowOff>0</xdr:rowOff>
    </xdr:from>
    <xdr:to>
      <xdr:col>5</xdr:col>
      <xdr:colOff>1104900</xdr:colOff>
      <xdr:row>58</xdr:row>
      <xdr:rowOff>28575</xdr:rowOff>
    </xdr:to>
    <xdr:sp>
      <xdr:nvSpPr>
        <xdr:cNvPr id="21" name="TextBox 26"/>
        <xdr:cNvSpPr txBox="1">
          <a:spLocks noChangeArrowheads="1"/>
        </xdr:cNvSpPr>
      </xdr:nvSpPr>
      <xdr:spPr>
        <a:xfrm>
          <a:off x="4486275" y="17211675"/>
          <a:ext cx="2457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(นางสุรัตน์   กรใหม่)
นายกองค์การบริหารส่วนตำบลบ้านใหม่
</a:t>
          </a:r>
        </a:p>
      </xdr:txBody>
    </xdr:sp>
    <xdr:clientData/>
  </xdr:twoCellAnchor>
  <xdr:twoCellAnchor>
    <xdr:from>
      <xdr:col>3</xdr:col>
      <xdr:colOff>1990725</xdr:colOff>
      <xdr:row>31</xdr:row>
      <xdr:rowOff>114300</xdr:rowOff>
    </xdr:from>
    <xdr:to>
      <xdr:col>5</xdr:col>
      <xdr:colOff>1190625</xdr:colOff>
      <xdr:row>34</xdr:row>
      <xdr:rowOff>228600</xdr:rowOff>
    </xdr:to>
    <xdr:sp>
      <xdr:nvSpPr>
        <xdr:cNvPr id="22" name="TextBox 27"/>
        <xdr:cNvSpPr txBox="1">
          <a:spLocks noChangeArrowheads="1"/>
        </xdr:cNvSpPr>
      </xdr:nvSpPr>
      <xdr:spPr>
        <a:xfrm>
          <a:off x="4591050" y="9324975"/>
          <a:ext cx="24384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……………………….........
(นายไพโรจน์   พึ่งทหาร)
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นายกองค์การบริหารส่วนตำบล </a:t>
          </a:r>
        </a:p>
      </xdr:txBody>
    </xdr:sp>
    <xdr:clientData/>
  </xdr:twoCellAnchor>
  <xdr:twoCellAnchor>
    <xdr:from>
      <xdr:col>3</xdr:col>
      <xdr:colOff>19050</xdr:colOff>
      <xdr:row>65</xdr:row>
      <xdr:rowOff>114300</xdr:rowOff>
    </xdr:from>
    <xdr:to>
      <xdr:col>3</xdr:col>
      <xdr:colOff>2343150</xdr:colOff>
      <xdr:row>69</xdr:row>
      <xdr:rowOff>200025</xdr:rowOff>
    </xdr:to>
    <xdr:sp>
      <xdr:nvSpPr>
        <xdr:cNvPr id="23" name="TextBox 28"/>
        <xdr:cNvSpPr txBox="1">
          <a:spLocks noChangeArrowheads="1"/>
        </xdr:cNvSpPr>
      </xdr:nvSpPr>
      <xdr:spPr>
        <a:xfrm>
          <a:off x="2619375" y="19431000"/>
          <a:ext cx="23241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ร้อยเอก……………………….........
(สุพรชัย  เศวตมาลย์)
ปลัดองค์การบริหารส่วนตำบล </a:t>
          </a:r>
        </a:p>
      </xdr:txBody>
    </xdr:sp>
    <xdr:clientData/>
  </xdr:twoCellAnchor>
  <xdr:twoCellAnchor>
    <xdr:from>
      <xdr:col>0</xdr:col>
      <xdr:colOff>123825</xdr:colOff>
      <xdr:row>65</xdr:row>
      <xdr:rowOff>114300</xdr:rowOff>
    </xdr:from>
    <xdr:to>
      <xdr:col>3</xdr:col>
      <xdr:colOff>104775</xdr:colOff>
      <xdr:row>69</xdr:row>
      <xdr:rowOff>209550</xdr:rowOff>
    </xdr:to>
    <xdr:sp>
      <xdr:nvSpPr>
        <xdr:cNvPr id="24" name="TextBox 29"/>
        <xdr:cNvSpPr txBox="1">
          <a:spLocks noChangeArrowheads="1"/>
        </xdr:cNvSpPr>
      </xdr:nvSpPr>
      <xdr:spPr>
        <a:xfrm>
          <a:off x="123825" y="19421475"/>
          <a:ext cx="25812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(นางสาวสุรีย์  พิมพ์ปรุ)
รองปลัดองค์การบริหารส่วนตำบลบ้านใหม่
 รักษาการแทน หัวหน้าส่วนการคลัง
</a:t>
          </a:r>
        </a:p>
      </xdr:txBody>
    </xdr:sp>
    <xdr:clientData/>
  </xdr:twoCellAnchor>
  <xdr:twoCellAnchor>
    <xdr:from>
      <xdr:col>3</xdr:col>
      <xdr:colOff>2057400</xdr:colOff>
      <xdr:row>65</xdr:row>
      <xdr:rowOff>114300</xdr:rowOff>
    </xdr:from>
    <xdr:to>
      <xdr:col>5</xdr:col>
      <xdr:colOff>1257300</xdr:colOff>
      <xdr:row>68</xdr:row>
      <xdr:rowOff>209550</xdr:rowOff>
    </xdr:to>
    <xdr:sp>
      <xdr:nvSpPr>
        <xdr:cNvPr id="25" name="TextBox 30"/>
        <xdr:cNvSpPr txBox="1">
          <a:spLocks noChangeArrowheads="1"/>
        </xdr:cNvSpPr>
      </xdr:nvSpPr>
      <xdr:spPr>
        <a:xfrm>
          <a:off x="4657725" y="19421475"/>
          <a:ext cx="24384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……………………….........
(นายไพโรจน์   พึ่งทหาร)
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นายกองค์การบริหารส่วนตำบล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257175</xdr:rowOff>
    </xdr:from>
    <xdr:to>
      <xdr:col>0</xdr:col>
      <xdr:colOff>3171825</xdr:colOff>
      <xdr:row>31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7934325"/>
          <a:ext cx="313372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(นางสาวสุรีย์  พิมพ์ปรุ)
รองปลัดองค์การบริหารส่วนตำบลบ้านใหม่
 รักษาการแทน  หัวหน้าส่วนการคลัง
</a:t>
          </a:r>
        </a:p>
      </xdr:txBody>
    </xdr:sp>
    <xdr:clientData/>
  </xdr:twoCellAnchor>
  <xdr:twoCellAnchor>
    <xdr:from>
      <xdr:col>1</xdr:col>
      <xdr:colOff>209550</xdr:colOff>
      <xdr:row>26</xdr:row>
      <xdr:rowOff>257175</xdr:rowOff>
    </xdr:from>
    <xdr:to>
      <xdr:col>3</xdr:col>
      <xdr:colOff>733425</xdr:colOff>
      <xdr:row>30</xdr:row>
      <xdr:rowOff>228600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71875" y="7934325"/>
          <a:ext cx="2400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ร้อยเอก……………………….........
(สุพรชัย  เศวตมาลย์)
ปลัดองค์การบริหารส่วนตำบลบ้านใหม่</a:t>
          </a:r>
        </a:p>
      </xdr:txBody>
    </xdr:sp>
    <xdr:clientData/>
  </xdr:twoCellAnchor>
  <xdr:twoCellAnchor>
    <xdr:from>
      <xdr:col>0</xdr:col>
      <xdr:colOff>2095500</xdr:colOff>
      <xdr:row>32</xdr:row>
      <xdr:rowOff>266700</xdr:rowOff>
    </xdr:from>
    <xdr:to>
      <xdr:col>2</xdr:col>
      <xdr:colOff>476250</xdr:colOff>
      <xdr:row>36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95500" y="9620250"/>
          <a:ext cx="24384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……………………….........
(นายไพโรจน์   พึ่งทหาร)
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นายกองค์การบริหารส่วนตำบลบ้านใหม่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22</xdr:row>
      <xdr:rowOff>85725</xdr:rowOff>
    </xdr:from>
    <xdr:to>
      <xdr:col>3</xdr:col>
      <xdr:colOff>638175</xdr:colOff>
      <xdr:row>26</xdr:row>
      <xdr:rowOff>190500</xdr:rowOff>
    </xdr:to>
    <xdr:sp>
      <xdr:nvSpPr>
        <xdr:cNvPr id="1" name="TextBox 891"/>
        <xdr:cNvSpPr txBox="1">
          <a:spLocks noChangeArrowheads="1"/>
        </xdr:cNvSpPr>
      </xdr:nvSpPr>
      <xdr:spPr>
        <a:xfrm>
          <a:off x="1457325" y="6877050"/>
          <a:ext cx="397192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(นางสาวสุรีย์  พิมพ์ปรุ)
รองปลัดองค์การบริหารส่วนตำบลบ้านใหม่  รักษาการแทน
  หัวหน้าส่วนการคลัง
</a:t>
          </a:r>
        </a:p>
      </xdr:txBody>
    </xdr:sp>
    <xdr:clientData/>
  </xdr:twoCellAnchor>
  <xdr:twoCellAnchor>
    <xdr:from>
      <xdr:col>1</xdr:col>
      <xdr:colOff>1143000</xdr:colOff>
      <xdr:row>27</xdr:row>
      <xdr:rowOff>104775</xdr:rowOff>
    </xdr:from>
    <xdr:to>
      <xdr:col>3</xdr:col>
      <xdr:colOff>314325</xdr:colOff>
      <xdr:row>31</xdr:row>
      <xdr:rowOff>0</xdr:rowOff>
    </xdr:to>
    <xdr:sp>
      <xdr:nvSpPr>
        <xdr:cNvPr id="2" name="TextBox 892"/>
        <xdr:cNvSpPr txBox="1">
          <a:spLocks noChangeArrowheads="1"/>
        </xdr:cNvSpPr>
      </xdr:nvSpPr>
      <xdr:spPr>
        <a:xfrm>
          <a:off x="1800225" y="8362950"/>
          <a:ext cx="33051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ร้อยเอก……………………….........
(สุพรชัย  เศวตมาลย์)
ปลัดองค์การบริหารส่วนตำบลบ้านใหม่ </a:t>
          </a:r>
        </a:p>
      </xdr:txBody>
    </xdr:sp>
    <xdr:clientData/>
  </xdr:twoCellAnchor>
  <xdr:twoCellAnchor>
    <xdr:from>
      <xdr:col>1</xdr:col>
      <xdr:colOff>1209675</xdr:colOff>
      <xdr:row>31</xdr:row>
      <xdr:rowOff>95250</xdr:rowOff>
    </xdr:from>
    <xdr:to>
      <xdr:col>3</xdr:col>
      <xdr:colOff>238125</xdr:colOff>
      <xdr:row>34</xdr:row>
      <xdr:rowOff>209550</xdr:rowOff>
    </xdr:to>
    <xdr:sp>
      <xdr:nvSpPr>
        <xdr:cNvPr id="3" name="TextBox 893"/>
        <xdr:cNvSpPr txBox="1">
          <a:spLocks noChangeArrowheads="1"/>
        </xdr:cNvSpPr>
      </xdr:nvSpPr>
      <xdr:spPr>
        <a:xfrm>
          <a:off x="1866900" y="9534525"/>
          <a:ext cx="31623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……………………….........
(นายไพโรจน์   พึ่งทหาร)
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นายกองค์การบริหารส่วนตำบลบ้านใหม่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31</xdr:row>
      <xdr:rowOff>85725</xdr:rowOff>
    </xdr:from>
    <xdr:to>
      <xdr:col>3</xdr:col>
      <xdr:colOff>628650</xdr:colOff>
      <xdr:row>35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9229725"/>
          <a:ext cx="36480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(นางสาวสุรีย์  พิมพ์ปรุ)
รองปลัดองค์การบริหารส่วนตำบลบ้านใหม่ รักษาการแทน
  หัวหน้าส่วนการคลัง
</a:t>
          </a:r>
        </a:p>
      </xdr:txBody>
    </xdr:sp>
    <xdr:clientData/>
  </xdr:twoCellAnchor>
  <xdr:twoCellAnchor>
    <xdr:from>
      <xdr:col>2</xdr:col>
      <xdr:colOff>752475</xdr:colOff>
      <xdr:row>38</xdr:row>
      <xdr:rowOff>114300</xdr:rowOff>
    </xdr:from>
    <xdr:to>
      <xdr:col>5</xdr:col>
      <xdr:colOff>809625</xdr:colOff>
      <xdr:row>41</xdr:row>
      <xdr:rowOff>228600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76600" y="11315700"/>
          <a:ext cx="30670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……………………….........
(นายไพโรจน์   พึ่งทหาร)
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นายกองค์การบริหารส่วนตำบลบ้านใหม่ </a:t>
          </a:r>
        </a:p>
      </xdr:txBody>
    </xdr:sp>
    <xdr:clientData/>
  </xdr:twoCellAnchor>
  <xdr:twoCellAnchor>
    <xdr:from>
      <xdr:col>5</xdr:col>
      <xdr:colOff>19050</xdr:colOff>
      <xdr:row>31</xdr:row>
      <xdr:rowOff>95250</xdr:rowOff>
    </xdr:from>
    <xdr:to>
      <xdr:col>7</xdr:col>
      <xdr:colOff>228600</xdr:colOff>
      <xdr:row>34</xdr:row>
      <xdr:rowOff>219075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553075" y="9229725"/>
          <a:ext cx="35242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ร้อยเอก……...………………….........
(สุพรชัย  เศวตมาลย์)
ปลัดองค์การบริหารส่วนตำบลบ้านใหม่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41</xdr:row>
      <xdr:rowOff>66675</xdr:rowOff>
    </xdr:from>
    <xdr:to>
      <xdr:col>1</xdr:col>
      <xdr:colOff>247650</xdr:colOff>
      <xdr:row>45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975" y="12049125"/>
          <a:ext cx="25812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(นางสาวสุรีย์  พิมพ์ปรุ)
รองปลัดองค์การบริหารส่วนตำบลบ้านใหม่
 รักษาการแทน หัวหน้าส่วนการคลัง
</a:t>
          </a:r>
        </a:p>
      </xdr:txBody>
    </xdr:sp>
    <xdr:clientData/>
  </xdr:twoCellAnchor>
  <xdr:twoCellAnchor>
    <xdr:from>
      <xdr:col>6</xdr:col>
      <xdr:colOff>561975</xdr:colOff>
      <xdr:row>41</xdr:row>
      <xdr:rowOff>123825</xdr:rowOff>
    </xdr:from>
    <xdr:to>
      <xdr:col>9</xdr:col>
      <xdr:colOff>619125</xdr:colOff>
      <xdr:row>44</xdr:row>
      <xdr:rowOff>238125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305800" y="12106275"/>
          <a:ext cx="34004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……………………….........
(นายไพโรจน์   พึ่งทหาร)
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นายกองค์การบริหารส่วนตำบลบ้านใหม่ </a:t>
          </a:r>
        </a:p>
      </xdr:txBody>
    </xdr:sp>
    <xdr:clientData/>
  </xdr:twoCellAnchor>
  <xdr:twoCellAnchor>
    <xdr:from>
      <xdr:col>2</xdr:col>
      <xdr:colOff>723900</xdr:colOff>
      <xdr:row>41</xdr:row>
      <xdr:rowOff>104775</xdr:rowOff>
    </xdr:from>
    <xdr:to>
      <xdr:col>6</xdr:col>
      <xdr:colOff>95250</xdr:colOff>
      <xdr:row>44</xdr:row>
      <xdr:rowOff>228600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81450" y="12087225"/>
          <a:ext cx="38576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ร้อยเอก……………………….........
(สุพรชัย  เศวตมาลย์)
ปลัดองค์การบริหารส่วนตำบลบ้านใหม่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82</xdr:row>
      <xdr:rowOff>66675</xdr:rowOff>
    </xdr:from>
    <xdr:to>
      <xdr:col>4</xdr:col>
      <xdr:colOff>400050</xdr:colOff>
      <xdr:row>86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33550" y="22945725"/>
          <a:ext cx="367665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(นางสาวสุรีย์  พิมพ์ปรุ)
รองปลัดองค์การบริหารส่วนตำบลบ้านใหม่  รักษาการแทน 
 หัวหน้าส่วนการคลัง
</a:t>
          </a:r>
        </a:p>
      </xdr:txBody>
    </xdr:sp>
    <xdr:clientData/>
  </xdr:twoCellAnchor>
  <xdr:twoCellAnchor>
    <xdr:from>
      <xdr:col>1</xdr:col>
      <xdr:colOff>1828800</xdr:colOff>
      <xdr:row>93</xdr:row>
      <xdr:rowOff>247650</xdr:rowOff>
    </xdr:from>
    <xdr:to>
      <xdr:col>3</xdr:col>
      <xdr:colOff>1028700</xdr:colOff>
      <xdr:row>97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0" y="26165175"/>
          <a:ext cx="27527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……………………….........
(นายไพโรจน์   พึ่งทหาร)
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นายกองค์การบริหารส่วนตำบลบ้านใหม่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%20sura\&#3591;&#3634;&#3609;&#3585;&#3634;&#3619;&#3648;&#3591;&#3636;&#3609;&#3611;&#3633;&#3592;&#3592;&#3640;&#3610;&#3633;&#3609;&#3626;&#3640;&#3619;&#3632;\&#3591;&#3610;&#3585;&#3634;&#3619;&#3648;&#3591;&#3636;&#3609;\&#3591;&#3610;&#3648;&#3604;&#3639;&#3629;&#3609;&#3629;&#3610;&#3605;.52\&#3648;&#3604;&#3639;&#3629;&#3609;%20&#3585;&#3633;&#3609;&#3618;&#3634;&#3618;&#3609;%20%2025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รับ - จ่าย"/>
      <sheetName val="หมายเหตุ1"/>
      <sheetName val="จ่ายจากรายรับ"/>
      <sheetName val="อัมพวัน"/>
      <sheetName val="กระแส"/>
      <sheetName val="ออม"/>
      <sheetName val="ประจำ"/>
      <sheetName val="เศรษฐกิจ"/>
      <sheetName val="ถ่ายโอน"/>
    </sheetNames>
    <sheetDataSet>
      <sheetData sheetId="0">
        <row r="6">
          <cell r="C6">
            <v>0</v>
          </cell>
        </row>
        <row r="8">
          <cell r="C8">
            <v>17828627.69</v>
          </cell>
        </row>
        <row r="9">
          <cell r="C9">
            <v>402393.76</v>
          </cell>
        </row>
        <row r="10">
          <cell r="C10">
            <v>201844.95</v>
          </cell>
        </row>
        <row r="11">
          <cell r="C11">
            <v>8805594.12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58">
      <selection activeCell="A42" sqref="A42"/>
    </sheetView>
  </sheetViews>
  <sheetFormatPr defaultColWidth="9.140625" defaultRowHeight="21.75"/>
  <cols>
    <col min="1" max="1" width="15.57421875" style="1" customWidth="1"/>
    <col min="2" max="2" width="18.28125" style="1" customWidth="1"/>
    <col min="3" max="3" width="5.140625" style="1" customWidth="1"/>
    <col min="4" max="4" width="40.7109375" style="1" customWidth="1"/>
    <col min="5" max="5" width="7.8515625" style="1" customWidth="1"/>
    <col min="6" max="6" width="19.8515625" style="1" customWidth="1"/>
    <col min="7" max="7" width="5.421875" style="1" customWidth="1"/>
    <col min="8" max="8" width="13.8515625" style="1" bestFit="1" customWidth="1"/>
    <col min="9" max="9" width="12.421875" style="1" customWidth="1"/>
    <col min="10" max="10" width="12.57421875" style="1" customWidth="1"/>
    <col min="11" max="11" width="12.421875" style="1" customWidth="1"/>
    <col min="12" max="16384" width="9.140625" style="1" customWidth="1"/>
  </cols>
  <sheetData>
    <row r="1" ht="23.25">
      <c r="A1" s="61" t="s">
        <v>0</v>
      </c>
    </row>
    <row r="2" ht="23.25">
      <c r="A2" s="61" t="s">
        <v>337</v>
      </c>
    </row>
    <row r="3" ht="23.25">
      <c r="E3" s="1" t="s">
        <v>537</v>
      </c>
    </row>
    <row r="4" spans="1:6" ht="23.25">
      <c r="A4" s="361" t="s">
        <v>19</v>
      </c>
      <c r="B4" s="361"/>
      <c r="C4" s="361"/>
      <c r="D4" s="361"/>
      <c r="E4" s="361"/>
      <c r="F4" s="361"/>
    </row>
    <row r="5" ht="23.25">
      <c r="D5" s="1" t="s">
        <v>538</v>
      </c>
    </row>
    <row r="6" spans="1:6" ht="23.25">
      <c r="A6" s="363" t="s">
        <v>1</v>
      </c>
      <c r="B6" s="363"/>
      <c r="C6" s="62"/>
      <c r="D6" s="32"/>
      <c r="E6" s="18" t="s">
        <v>6</v>
      </c>
      <c r="F6" s="3" t="s">
        <v>8</v>
      </c>
    </row>
    <row r="7" spans="1:6" s="5" customFormat="1" ht="23.25">
      <c r="A7" s="18" t="s">
        <v>2</v>
      </c>
      <c r="B7" s="18" t="s">
        <v>4</v>
      </c>
      <c r="C7" s="358" t="s">
        <v>5</v>
      </c>
      <c r="D7" s="362"/>
      <c r="E7" s="64" t="s">
        <v>7</v>
      </c>
      <c r="F7" s="18" t="s">
        <v>4</v>
      </c>
    </row>
    <row r="8" spans="1:6" s="5" customFormat="1" ht="23.25">
      <c r="A8" s="65" t="s">
        <v>3</v>
      </c>
      <c r="B8" s="65" t="s">
        <v>3</v>
      </c>
      <c r="C8" s="65"/>
      <c r="D8" s="66"/>
      <c r="E8" s="17"/>
      <c r="F8" s="17" t="s">
        <v>3</v>
      </c>
    </row>
    <row r="9" spans="1:6" ht="24" thickBot="1">
      <c r="A9" s="67"/>
      <c r="B9" s="50">
        <v>24281837.59</v>
      </c>
      <c r="C9" s="19" t="s">
        <v>9</v>
      </c>
      <c r="E9" s="19"/>
      <c r="F9" s="72">
        <v>32397047.56</v>
      </c>
    </row>
    <row r="10" spans="1:6" ht="24" thickTop="1">
      <c r="A10" s="68"/>
      <c r="B10" s="51"/>
      <c r="C10" s="69" t="s">
        <v>76</v>
      </c>
      <c r="E10" s="21"/>
      <c r="F10" s="22"/>
    </row>
    <row r="11" spans="1:6" ht="23.25">
      <c r="A11" s="68">
        <f>820000+10000+175000</f>
        <v>1005000</v>
      </c>
      <c r="B11" s="68">
        <f>300.04+248.97+92.71+76626.08+147145.11+226927.75+379896.76+164640.39+1176.5+82789.63+598.11+29476.91</f>
        <v>1109918.96</v>
      </c>
      <c r="C11" s="51"/>
      <c r="D11" s="24" t="s">
        <v>10</v>
      </c>
      <c r="E11" s="70" t="s">
        <v>20</v>
      </c>
      <c r="F11" s="22">
        <f>12296.25+212.66+16968</f>
        <v>29476.91</v>
      </c>
    </row>
    <row r="12" spans="1:6" ht="23.25">
      <c r="A12" s="68">
        <v>457600</v>
      </c>
      <c r="B12" s="68">
        <f>29351+24010.1+40695.1+43773.5+35574.7+37192.1+40619.4+50302.8+35808.65+37273+57163.8+61932.6</f>
        <v>493696.75</v>
      </c>
      <c r="C12" s="51"/>
      <c r="D12" s="24" t="s">
        <v>11</v>
      </c>
      <c r="E12" s="70" t="s">
        <v>27</v>
      </c>
      <c r="F12" s="22">
        <f>2658.6+54850+1000+380+600+2444</f>
        <v>61932.6</v>
      </c>
    </row>
    <row r="13" spans="1:6" ht="23.25">
      <c r="A13" s="68">
        <v>200000</v>
      </c>
      <c r="B13" s="68">
        <f>114006.78+114809.56+40318.98+22116.75</f>
        <v>291252.07</v>
      </c>
      <c r="C13" s="51"/>
      <c r="D13" s="24" t="s">
        <v>12</v>
      </c>
      <c r="E13" s="70" t="s">
        <v>21</v>
      </c>
      <c r="F13" s="22"/>
    </row>
    <row r="14" spans="1:6" ht="23.25">
      <c r="A14" s="68"/>
      <c r="B14" s="68">
        <v>0</v>
      </c>
      <c r="C14" s="51"/>
      <c r="D14" s="24" t="s">
        <v>13</v>
      </c>
      <c r="E14" s="70" t="s">
        <v>22</v>
      </c>
      <c r="F14" s="22"/>
    </row>
    <row r="15" spans="1:6" ht="23.25">
      <c r="A15" s="68">
        <v>231000</v>
      </c>
      <c r="B15" s="68">
        <f>6020+902+55+134.1+544+110005+64640+47400+60+20</f>
        <v>229780.1</v>
      </c>
      <c r="C15" s="51"/>
      <c r="D15" s="24" t="s">
        <v>14</v>
      </c>
      <c r="E15" s="70" t="s">
        <v>23</v>
      </c>
      <c r="F15" s="22">
        <v>20</v>
      </c>
    </row>
    <row r="16" spans="1:6" ht="23.25">
      <c r="A16" s="68"/>
      <c r="B16" s="68">
        <v>0</v>
      </c>
      <c r="C16" s="51"/>
      <c r="D16" s="24" t="s">
        <v>15</v>
      </c>
      <c r="E16" s="70" t="s">
        <v>24</v>
      </c>
      <c r="F16" s="22"/>
    </row>
    <row r="17" spans="1:6" ht="23.25">
      <c r="A17" s="68">
        <f>50000+4800000+4500000+135000+2000000+4500000+2000+50000+85000+6500000+3000</f>
        <v>22625000</v>
      </c>
      <c r="B17" s="68">
        <f>1068659.02+2000378.93+1681680.25+14672.61+2480587.26-11255+1632584.2+2593439.62+2779686.29+1906303.73+1420072.94+2517343.23+2046578.62</f>
        <v>22130731.700000003</v>
      </c>
      <c r="C17" s="51"/>
      <c r="D17" s="24" t="s">
        <v>16</v>
      </c>
      <c r="E17" s="70" t="s">
        <v>25</v>
      </c>
      <c r="F17" s="22">
        <f>389826.68+2760.7+144444.79+448407.17+25211.49+615083+2043.79+418801</f>
        <v>2046578.62</v>
      </c>
    </row>
    <row r="18" spans="1:6" ht="23.25">
      <c r="A18" s="68">
        <v>13500000</v>
      </c>
      <c r="B18" s="68">
        <f>4702640+1953868.06+3499888+598494+1866352</f>
        <v>12621242.06</v>
      </c>
      <c r="C18" s="51"/>
      <c r="D18" s="24" t="s">
        <v>539</v>
      </c>
      <c r="E18" s="70" t="s">
        <v>26</v>
      </c>
      <c r="F18" s="22"/>
    </row>
    <row r="19" spans="1:6" ht="23.25">
      <c r="A19" s="68"/>
      <c r="B19" s="68">
        <f>1794000+598000+1196000</f>
        <v>3588000</v>
      </c>
      <c r="C19" s="51"/>
      <c r="D19" s="24" t="s">
        <v>540</v>
      </c>
      <c r="E19" s="70" t="s">
        <v>26</v>
      </c>
      <c r="F19" s="22"/>
    </row>
    <row r="20" spans="1:6" ht="23.25">
      <c r="A20" s="68"/>
      <c r="B20" s="68">
        <v>1092500</v>
      </c>
      <c r="C20" s="51"/>
      <c r="D20" s="24" t="s">
        <v>541</v>
      </c>
      <c r="E20" s="70" t="s">
        <v>542</v>
      </c>
      <c r="F20" s="22"/>
    </row>
    <row r="21" spans="1:6" ht="23.25">
      <c r="A21" s="68"/>
      <c r="B21" s="68">
        <v>110400</v>
      </c>
      <c r="C21" s="51"/>
      <c r="D21" s="24" t="s">
        <v>543</v>
      </c>
      <c r="E21" s="70"/>
      <c r="F21" s="22"/>
    </row>
    <row r="22" spans="1:6" ht="23.25">
      <c r="A22" s="68"/>
      <c r="B22" s="68">
        <v>25000</v>
      </c>
      <c r="C22" s="51"/>
      <c r="D22" s="24" t="s">
        <v>544</v>
      </c>
      <c r="E22" s="70"/>
      <c r="F22" s="22">
        <v>25000</v>
      </c>
    </row>
    <row r="23" spans="1:8" ht="23.25">
      <c r="A23" s="68"/>
      <c r="B23" s="68">
        <f>122325+73395</f>
        <v>195720</v>
      </c>
      <c r="C23" s="51"/>
      <c r="D23" s="24" t="s">
        <v>545</v>
      </c>
      <c r="E23" s="70"/>
      <c r="F23" s="22"/>
      <c r="H23" s="1" t="s">
        <v>546</v>
      </c>
    </row>
    <row r="24" spans="1:8" ht="24" thickBot="1">
      <c r="A24" s="71">
        <f>SUM(A11:A23)</f>
        <v>38018600</v>
      </c>
      <c r="B24" s="71">
        <f>SUM(B11:B23)</f>
        <v>41888241.64</v>
      </c>
      <c r="C24" s="51"/>
      <c r="D24" s="63" t="s">
        <v>18</v>
      </c>
      <c r="E24" s="21"/>
      <c r="F24" s="72">
        <f>SUM(F11:F23)</f>
        <v>2163008.13</v>
      </c>
      <c r="H24" s="192">
        <f>B24-B23-B21-B20-B19</f>
        <v>36901621.64</v>
      </c>
    </row>
    <row r="25" spans="1:6" ht="24" thickTop="1">
      <c r="A25" s="48"/>
      <c r="B25" s="68">
        <f>60453.73+28673.71+5799.39+4933.21+761341.18+127151.6+138.28+11014.57+83928.43</f>
        <v>1083434.1</v>
      </c>
      <c r="C25" s="51"/>
      <c r="D25" s="24" t="s">
        <v>338</v>
      </c>
      <c r="E25" s="70"/>
      <c r="F25" s="22">
        <v>55535.62</v>
      </c>
    </row>
    <row r="26" spans="1:6" ht="23.25">
      <c r="A26" s="48"/>
      <c r="B26" s="68">
        <f>30098.63+10043.15+25000</f>
        <v>65141.78</v>
      </c>
      <c r="C26" s="51"/>
      <c r="D26" s="24" t="s">
        <v>301</v>
      </c>
      <c r="E26" s="70"/>
      <c r="F26" s="22"/>
    </row>
    <row r="27" spans="1:6" ht="23.25">
      <c r="A27" s="48"/>
      <c r="B27" s="68">
        <f>1056.43+325.03+403.72+36.67+315.44+61.56+39.14+27.39</f>
        <v>2265.3799999999997</v>
      </c>
      <c r="C27" s="51"/>
      <c r="D27" s="24" t="s">
        <v>547</v>
      </c>
      <c r="E27" s="70"/>
      <c r="F27" s="22">
        <v>27.39</v>
      </c>
    </row>
    <row r="28" spans="1:6" ht="23.25">
      <c r="A28" s="48"/>
      <c r="B28" s="28">
        <f>B25+B26+B27</f>
        <v>1150841.26</v>
      </c>
      <c r="C28" s="51"/>
      <c r="D28" s="63" t="s">
        <v>252</v>
      </c>
      <c r="E28" s="70"/>
      <c r="F28" s="28">
        <f>SUM(F25:F27)</f>
        <v>55563.01</v>
      </c>
    </row>
    <row r="29" spans="1:6" ht="23.25">
      <c r="A29" s="48"/>
      <c r="B29" s="68"/>
      <c r="C29" s="51"/>
      <c r="D29" s="24"/>
      <c r="E29" s="70"/>
      <c r="F29" s="22"/>
    </row>
    <row r="30" spans="1:6" ht="24" thickBot="1">
      <c r="A30" s="48"/>
      <c r="B30" s="72">
        <f>B24+B28</f>
        <v>43039082.9</v>
      </c>
      <c r="C30" s="51"/>
      <c r="D30" s="63" t="s">
        <v>81</v>
      </c>
      <c r="E30" s="73"/>
      <c r="F30" s="72">
        <f>F24+F28</f>
        <v>2218571.1399999997</v>
      </c>
    </row>
    <row r="31" spans="1:6" ht="24" thickTop="1">
      <c r="A31" s="48"/>
      <c r="B31" s="48"/>
      <c r="C31" s="48"/>
      <c r="D31" s="30"/>
      <c r="E31" s="27"/>
      <c r="F31" s="48"/>
    </row>
    <row r="32" spans="1:6" ht="23.25">
      <c r="A32" s="48"/>
      <c r="B32" s="48"/>
      <c r="C32" s="48"/>
      <c r="D32" s="30"/>
      <c r="E32" s="27"/>
      <c r="F32" s="48"/>
    </row>
    <row r="33" spans="1:6" ht="23.25">
      <c r="A33" s="48"/>
      <c r="B33" s="48"/>
      <c r="C33" s="48"/>
      <c r="D33" s="30"/>
      <c r="E33" s="27"/>
      <c r="F33" s="48"/>
    </row>
    <row r="34" spans="1:7" ht="23.25">
      <c r="A34" s="48"/>
      <c r="B34" s="48"/>
      <c r="C34" s="48"/>
      <c r="D34" s="30"/>
      <c r="E34" s="27"/>
      <c r="F34" s="48"/>
      <c r="G34" s="27"/>
    </row>
    <row r="35" spans="1:7" ht="23.25">
      <c r="A35" s="48"/>
      <c r="B35" s="48"/>
      <c r="C35" s="48"/>
      <c r="D35" s="30"/>
      <c r="E35" s="27"/>
      <c r="F35" s="48"/>
      <c r="G35" s="27"/>
    </row>
    <row r="36" spans="1:7" ht="23.25">
      <c r="A36" s="48"/>
      <c r="B36" s="48"/>
      <c r="C36" s="118"/>
      <c r="D36" s="118"/>
      <c r="E36" s="118"/>
      <c r="F36" s="118"/>
      <c r="G36" s="27"/>
    </row>
    <row r="37" spans="1:10" ht="23.25">
      <c r="A37" s="20"/>
      <c r="B37" s="20"/>
      <c r="C37" s="74" t="s">
        <v>28</v>
      </c>
      <c r="D37" s="32"/>
      <c r="E37" s="75"/>
      <c r="F37" s="20"/>
      <c r="H37" s="5"/>
      <c r="I37" s="12"/>
      <c r="J37" s="12"/>
    </row>
    <row r="38" spans="1:10" ht="23.25">
      <c r="A38" s="22">
        <v>3364000</v>
      </c>
      <c r="B38" s="22">
        <f>63220+288210+700000+321636+543272+37000+20978+127233.6+187629.6</f>
        <v>2289179.2</v>
      </c>
      <c r="C38" s="25"/>
      <c r="D38" s="24" t="s">
        <v>29</v>
      </c>
      <c r="E38" s="70" t="s">
        <v>90</v>
      </c>
      <c r="F38" s="22">
        <v>187629.6</v>
      </c>
      <c r="H38" s="192"/>
      <c r="I38" s="12"/>
      <c r="J38" s="12"/>
    </row>
    <row r="39" spans="1:11" ht="23.25">
      <c r="A39" s="22">
        <v>4781715.81</v>
      </c>
      <c r="B39" s="22">
        <f>351855.1+343908+343768+365767+359367+358527+368501.83+354770+354770+354770+355730+355010</f>
        <v>4266743.93</v>
      </c>
      <c r="C39" s="25"/>
      <c r="D39" s="24" t="s">
        <v>30</v>
      </c>
      <c r="E39" s="70">
        <v>100</v>
      </c>
      <c r="F39" s="22">
        <v>355010</v>
      </c>
      <c r="H39" s="192"/>
      <c r="I39" s="12"/>
      <c r="J39" s="12"/>
      <c r="K39" s="109"/>
    </row>
    <row r="40" spans="1:11" ht="23.25">
      <c r="A40" s="22">
        <v>3009000</v>
      </c>
      <c r="B40" s="22">
        <f>208540+208540+214620+218100+216360+216360+216360+216360+209780+209780+209780+209780</f>
        <v>2554360</v>
      </c>
      <c r="C40" s="25"/>
      <c r="D40" s="24" t="s">
        <v>339</v>
      </c>
      <c r="E40" s="70" t="s">
        <v>91</v>
      </c>
      <c r="F40" s="22">
        <v>209780</v>
      </c>
      <c r="H40" s="192"/>
      <c r="I40" s="12"/>
      <c r="J40" s="12"/>
      <c r="K40" s="109"/>
    </row>
    <row r="41" spans="1:11" ht="23.25">
      <c r="A41" s="22">
        <v>3086403.19</v>
      </c>
      <c r="B41" s="22">
        <f>340690.19+182663+335161+187285+163413+194901+197754+184001+197821+175638+206128+219507</f>
        <v>2584962.19</v>
      </c>
      <c r="C41" s="25"/>
      <c r="D41" s="24" t="s">
        <v>31</v>
      </c>
      <c r="E41" s="70" t="s">
        <v>41</v>
      </c>
      <c r="F41" s="22">
        <v>219507</v>
      </c>
      <c r="H41" s="192"/>
      <c r="I41" s="12"/>
      <c r="J41" s="12"/>
      <c r="K41" s="109"/>
    </row>
    <row r="42" spans="1:11" ht="23.25">
      <c r="A42" s="22">
        <v>10748720.71</v>
      </c>
      <c r="B42" s="22">
        <f>30672+189124.55+184130+262734+424276.17+1045646+1162102.5+605580+575864+678044+1581392+1429088.4</f>
        <v>8168653.619999999</v>
      </c>
      <c r="C42" s="25"/>
      <c r="D42" s="24" t="s">
        <v>32</v>
      </c>
      <c r="E42" s="70" t="s">
        <v>42</v>
      </c>
      <c r="F42" s="22">
        <f>924872.4+504716-500</f>
        <v>1429088.4</v>
      </c>
      <c r="H42" s="192"/>
      <c r="I42" s="12"/>
      <c r="J42" s="12"/>
      <c r="K42" s="109"/>
    </row>
    <row r="43" spans="1:11" ht="23.25">
      <c r="A43" s="22">
        <v>4277910.29</v>
      </c>
      <c r="B43" s="22">
        <f>11120+146787.2+55313.6+163564.42+245871.42+194180.13+160563.25+189735.13+193215.4+557619.61+159683.62+787500.34</f>
        <v>2865154.1199999996</v>
      </c>
      <c r="C43" s="25"/>
      <c r="D43" s="24" t="s">
        <v>33</v>
      </c>
      <c r="E43" s="70" t="s">
        <v>43</v>
      </c>
      <c r="F43" s="22">
        <f>577274.14+210226.2</f>
        <v>787500.3400000001</v>
      </c>
      <c r="H43" s="192"/>
      <c r="I43" s="12"/>
      <c r="J43" s="12"/>
      <c r="K43" s="109"/>
    </row>
    <row r="44" spans="1:11" ht="23.25">
      <c r="A44" s="22">
        <v>433000</v>
      </c>
      <c r="B44" s="22">
        <f>7980.85+16068.85+15220.48+9912.87+25121.39+2538.6+22248.06+26303.18+16259+26373.66+46083.72+4457.62</f>
        <v>218568.28</v>
      </c>
      <c r="C44" s="25"/>
      <c r="D44" s="24" t="s">
        <v>34</v>
      </c>
      <c r="E44" s="70" t="s">
        <v>44</v>
      </c>
      <c r="F44" s="22">
        <v>4457.62</v>
      </c>
      <c r="H44" s="192"/>
      <c r="I44" s="12"/>
      <c r="J44" s="12"/>
      <c r="K44" s="109"/>
    </row>
    <row r="45" spans="1:11" ht="23.25">
      <c r="A45" s="22">
        <v>2226994.79</v>
      </c>
      <c r="B45" s="22">
        <f>738200+254400+369645.28+20000+298749.51</f>
        <v>1680994.79</v>
      </c>
      <c r="C45" s="25"/>
      <c r="D45" s="24" t="s">
        <v>17</v>
      </c>
      <c r="E45" s="70" t="s">
        <v>45</v>
      </c>
      <c r="F45" s="22">
        <v>298749.51</v>
      </c>
      <c r="H45" s="192"/>
      <c r="I45" s="12"/>
      <c r="J45" s="12"/>
      <c r="K45" s="109"/>
    </row>
    <row r="46" spans="1:11" ht="23.25">
      <c r="A46" s="22"/>
      <c r="B46" s="22">
        <f>589500-11000+7500+587500-1000+578000+608500+1099000</f>
        <v>3458000</v>
      </c>
      <c r="C46" s="25"/>
      <c r="D46" s="24" t="s">
        <v>540</v>
      </c>
      <c r="E46" s="70" t="s">
        <v>45</v>
      </c>
      <c r="F46" s="22">
        <f>1102000-3000</f>
        <v>1099000</v>
      </c>
      <c r="H46" s="192"/>
      <c r="I46" s="12"/>
      <c r="J46" s="12"/>
      <c r="K46" s="109"/>
    </row>
    <row r="47" spans="1:11" ht="23.25">
      <c r="A47" s="22"/>
      <c r="B47" s="22">
        <f>1092500+331120</f>
        <v>1423620</v>
      </c>
      <c r="C47" s="25"/>
      <c r="D47" s="24" t="s">
        <v>548</v>
      </c>
      <c r="E47" s="70" t="s">
        <v>45</v>
      </c>
      <c r="F47" s="22">
        <f>25000+110400+195720</f>
        <v>331120</v>
      </c>
      <c r="H47" s="192"/>
      <c r="I47" s="12"/>
      <c r="J47" s="12"/>
      <c r="K47" s="109"/>
    </row>
    <row r="48" spans="1:11" ht="23.25">
      <c r="A48" s="22">
        <v>241500</v>
      </c>
      <c r="B48" s="22">
        <f>115200+6000+29960</f>
        <v>151160</v>
      </c>
      <c r="C48" s="25"/>
      <c r="D48" s="24" t="s">
        <v>35</v>
      </c>
      <c r="E48" s="70" t="s">
        <v>46</v>
      </c>
      <c r="F48" s="22">
        <v>29960</v>
      </c>
      <c r="H48" s="192"/>
      <c r="I48" s="12"/>
      <c r="J48" s="12"/>
      <c r="K48" s="109"/>
    </row>
    <row r="49" spans="1:11" ht="23.25">
      <c r="A49" s="22">
        <v>5800805.21</v>
      </c>
      <c r="B49" s="22">
        <f>307425+731223+4102876</f>
        <v>5141524</v>
      </c>
      <c r="C49" s="25"/>
      <c r="D49" s="24" t="s">
        <v>36</v>
      </c>
      <c r="E49" s="70" t="s">
        <v>47</v>
      </c>
      <c r="F49" s="22">
        <f>1770676+2332200</f>
        <v>4102876</v>
      </c>
      <c r="H49" s="192"/>
      <c r="I49" s="12"/>
      <c r="J49" s="12"/>
      <c r="K49" s="109"/>
    </row>
    <row r="50" spans="1:11" ht="24" thickBot="1">
      <c r="A50" s="71">
        <f>SUM(A38:A49)</f>
        <v>37970050</v>
      </c>
      <c r="B50" s="72">
        <f>SUM(B38:B49)</f>
        <v>34802920.129999995</v>
      </c>
      <c r="C50" s="358" t="s">
        <v>340</v>
      </c>
      <c r="D50" s="362"/>
      <c r="E50" s="70"/>
      <c r="F50" s="72">
        <f>SUM(F38:F49)</f>
        <v>9054678.469999999</v>
      </c>
      <c r="H50" s="109"/>
      <c r="I50" s="12"/>
      <c r="J50" s="12"/>
      <c r="K50" s="109"/>
    </row>
    <row r="51" spans="1:10" ht="24" thickTop="1">
      <c r="A51" s="24"/>
      <c r="B51" s="119">
        <f>26401.48+5687.37+1831.49+785.69+5380.04+4129.92+2671.79+18764+7661.03+20988.48</f>
        <v>94301.29</v>
      </c>
      <c r="C51" s="25"/>
      <c r="D51" s="24" t="s">
        <v>60</v>
      </c>
      <c r="E51" s="70"/>
      <c r="F51" s="22">
        <v>20988.48</v>
      </c>
      <c r="H51" s="109"/>
      <c r="I51" s="12"/>
      <c r="J51" s="12"/>
    </row>
    <row r="52" spans="1:8" ht="23.25">
      <c r="A52" s="193"/>
      <c r="B52" s="119">
        <f>781011.36+318000</f>
        <v>1099011.3599999999</v>
      </c>
      <c r="C52" s="25"/>
      <c r="D52" s="24" t="s">
        <v>57</v>
      </c>
      <c r="E52" s="70"/>
      <c r="F52" s="194"/>
      <c r="H52" s="1" t="s">
        <v>549</v>
      </c>
    </row>
    <row r="53" spans="1:8" ht="23.25">
      <c r="A53" s="187"/>
      <c r="B53" s="119">
        <f>773450</f>
        <v>773450</v>
      </c>
      <c r="C53" s="49"/>
      <c r="D53" s="121" t="s">
        <v>521</v>
      </c>
      <c r="E53" s="21"/>
      <c r="F53" s="194"/>
      <c r="H53" s="192">
        <f>B50-B47-B46</f>
        <v>29921300.129999995</v>
      </c>
    </row>
    <row r="54" spans="1:6" ht="23.25">
      <c r="A54" s="195"/>
      <c r="B54" s="119">
        <f>40500+105050+77736+50000+834650+199501+696200+1024180+726000+2002870+292746</f>
        <v>6049433</v>
      </c>
      <c r="C54" s="49"/>
      <c r="D54" s="121" t="s">
        <v>341</v>
      </c>
      <c r="E54" s="21"/>
      <c r="F54" s="194">
        <v>292746</v>
      </c>
    </row>
    <row r="55" spans="1:6" ht="23.25">
      <c r="A55" s="195"/>
      <c r="B55" s="119">
        <f>49000</f>
        <v>49000</v>
      </c>
      <c r="C55" s="49"/>
      <c r="D55" s="121" t="s">
        <v>550</v>
      </c>
      <c r="E55" s="21"/>
      <c r="F55" s="194"/>
    </row>
    <row r="56" spans="1:8" s="27" customFormat="1" ht="23.25">
      <c r="A56" s="195"/>
      <c r="B56" s="119">
        <f>448704+999423+96000+1124577+2363600</f>
        <v>5032304</v>
      </c>
      <c r="C56" s="49"/>
      <c r="D56" s="121" t="s">
        <v>93</v>
      </c>
      <c r="E56" s="21"/>
      <c r="F56" s="194">
        <v>2363600</v>
      </c>
      <c r="H56" s="237" t="s">
        <v>551</v>
      </c>
    </row>
    <row r="57" spans="2:8" s="27" customFormat="1" ht="23.25">
      <c r="B57" s="119">
        <f>25500+18669+29975+7225+74969+754450+126980+26706+27614</f>
        <v>1092088</v>
      </c>
      <c r="C57" s="49"/>
      <c r="D57" s="121" t="s">
        <v>342</v>
      </c>
      <c r="E57" s="21"/>
      <c r="F57" s="22">
        <v>27614</v>
      </c>
      <c r="H57" s="238">
        <f>H24-H53</f>
        <v>6980321.510000005</v>
      </c>
    </row>
    <row r="58" spans="1:6" s="27" customFormat="1" ht="24" thickBot="1">
      <c r="A58" s="187"/>
      <c r="B58" s="122">
        <f>SUM(B51:B57)</f>
        <v>14189587.65</v>
      </c>
      <c r="C58" s="49"/>
      <c r="D58" s="49" t="s">
        <v>252</v>
      </c>
      <c r="E58" s="73"/>
      <c r="F58" s="72">
        <f>SUM(F51:F57)</f>
        <v>2704948.48</v>
      </c>
    </row>
    <row r="59" spans="1:8" ht="24" thickTop="1">
      <c r="A59" s="24"/>
      <c r="B59" s="28">
        <f>B50+B58</f>
        <v>48992507.779999994</v>
      </c>
      <c r="C59" s="358" t="s">
        <v>94</v>
      </c>
      <c r="D59" s="359"/>
      <c r="E59" s="362"/>
      <c r="F59" s="28">
        <f>F50+F58</f>
        <v>11759626.95</v>
      </c>
      <c r="H59" s="12"/>
    </row>
    <row r="60" spans="1:6" ht="23.25">
      <c r="A60" s="120"/>
      <c r="B60" s="22"/>
      <c r="C60" s="360" t="s">
        <v>38</v>
      </c>
      <c r="D60" s="364"/>
      <c r="E60" s="24"/>
      <c r="F60" s="22"/>
    </row>
    <row r="61" spans="1:6" ht="23.25">
      <c r="A61" s="196"/>
      <c r="B61" s="22">
        <f>B24-B50</f>
        <v>7085321.510000005</v>
      </c>
      <c r="C61" s="360" t="s">
        <v>343</v>
      </c>
      <c r="D61" s="359"/>
      <c r="E61" s="24"/>
      <c r="F61" s="22">
        <f>F24-F50</f>
        <v>-6891670.339999999</v>
      </c>
    </row>
    <row r="62" spans="1:6" ht="23.25">
      <c r="A62" s="24"/>
      <c r="B62" s="21"/>
      <c r="C62" s="358" t="s">
        <v>344</v>
      </c>
      <c r="D62" s="359"/>
      <c r="E62" s="24"/>
      <c r="F62" s="22"/>
    </row>
    <row r="63" spans="1:6" ht="24" thickBot="1">
      <c r="A63" s="24"/>
      <c r="B63" s="72">
        <f>F63</f>
        <v>27238460.520000003</v>
      </c>
      <c r="C63" s="358" t="s">
        <v>40</v>
      </c>
      <c r="D63" s="359"/>
      <c r="E63" s="24"/>
      <c r="F63" s="72">
        <f>'[1]งบทดลอง'!C6+'[1]งบทดลอง'!C8+'[1]งบทดลอง'!C9+'[1]งบทดลอง'!C10+'[1]งบทดลอง'!C11</f>
        <v>27238460.520000003</v>
      </c>
    </row>
    <row r="64" spans="1:6" ht="24" thickTop="1">
      <c r="A64" s="27"/>
      <c r="B64" s="48"/>
      <c r="C64" s="49"/>
      <c r="D64" s="49"/>
      <c r="E64" s="27"/>
      <c r="F64" s="48"/>
    </row>
    <row r="65" spans="1:2" ht="23.25">
      <c r="A65" s="109"/>
      <c r="B65" s="109"/>
    </row>
    <row r="74" ht="23.25">
      <c r="D74" s="12"/>
    </row>
    <row r="89" ht="23.25">
      <c r="B89" s="12"/>
    </row>
    <row r="90" ht="23.25">
      <c r="B90" s="109"/>
    </row>
  </sheetData>
  <mergeCells count="9">
    <mergeCell ref="C63:D63"/>
    <mergeCell ref="C61:D61"/>
    <mergeCell ref="A4:F4"/>
    <mergeCell ref="C7:D7"/>
    <mergeCell ref="A6:B6"/>
    <mergeCell ref="C50:D50"/>
    <mergeCell ref="C59:E59"/>
    <mergeCell ref="C60:D60"/>
    <mergeCell ref="C62:D62"/>
  </mergeCells>
  <printOptions/>
  <pageMargins left="0.3937007874015748" right="0.24" top="0.31" bottom="0.1968503937007874" header="0.49" footer="0.5511811023622047"/>
  <pageSetup horizontalDpi="300" verticalDpi="300" orientation="portrait" paperSize="9" r:id="rId2"/>
  <headerFooter alignWithMargins="0">
    <oddHeader>&amp;Rหน้าที่ &amp;P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4">
      <selection activeCell="R18" sqref="R18"/>
    </sheetView>
  </sheetViews>
  <sheetFormatPr defaultColWidth="9.140625" defaultRowHeight="21.75"/>
  <cols>
    <col min="1" max="1" width="6.421875" style="101" customWidth="1"/>
    <col min="2" max="6" width="9.140625" style="100" customWidth="1"/>
    <col min="7" max="7" width="14.421875" style="100" bestFit="1" customWidth="1"/>
    <col min="8" max="8" width="9.140625" style="100" customWidth="1"/>
    <col min="9" max="9" width="15.7109375" style="100" customWidth="1"/>
    <col min="10" max="10" width="3.140625" style="0" customWidth="1"/>
    <col min="11" max="11" width="0.13671875" style="0" hidden="1" customWidth="1"/>
    <col min="12" max="17" width="9.140625" style="0" hidden="1" customWidth="1"/>
  </cols>
  <sheetData>
    <row r="1" spans="1:10" ht="23.25">
      <c r="A1" s="390" t="s">
        <v>291</v>
      </c>
      <c r="B1" s="390"/>
      <c r="C1" s="390"/>
      <c r="D1" s="390"/>
      <c r="E1" s="390"/>
      <c r="F1" s="390"/>
      <c r="G1" s="390"/>
      <c r="H1" s="390"/>
      <c r="I1" s="390"/>
      <c r="J1" s="390"/>
    </row>
    <row r="2" spans="1:10" ht="23.25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ht="23.25">
      <c r="A3" s="361" t="s">
        <v>258</v>
      </c>
      <c r="B3" s="361"/>
      <c r="C3" s="361"/>
      <c r="D3" s="361"/>
      <c r="E3" s="361"/>
      <c r="F3" s="361"/>
      <c r="G3" s="361"/>
      <c r="H3" s="361"/>
      <c r="I3" s="361"/>
      <c r="J3" s="361"/>
    </row>
    <row r="4" spans="1:10" ht="23.25">
      <c r="A4" s="361" t="s">
        <v>465</v>
      </c>
      <c r="B4" s="361"/>
      <c r="C4" s="361"/>
      <c r="D4" s="361"/>
      <c r="E4" s="361"/>
      <c r="F4" s="361"/>
      <c r="G4" s="361"/>
      <c r="H4" s="361"/>
      <c r="I4" s="361"/>
      <c r="J4" s="361"/>
    </row>
    <row r="5" spans="1:9" ht="24">
      <c r="A5" s="391"/>
      <c r="B5" s="391"/>
      <c r="C5" s="391"/>
      <c r="D5" s="391"/>
      <c r="E5" s="391"/>
      <c r="F5" s="391"/>
      <c r="G5" s="391"/>
      <c r="H5" s="391"/>
      <c r="I5" s="391"/>
    </row>
    <row r="6" spans="2:9" ht="24">
      <c r="B6" s="100" t="s">
        <v>259</v>
      </c>
      <c r="I6" s="104" t="s">
        <v>265</v>
      </c>
    </row>
    <row r="7" spans="1:9" ht="24">
      <c r="A7" s="101" t="s">
        <v>169</v>
      </c>
      <c r="B7" s="100" t="s">
        <v>260</v>
      </c>
      <c r="I7" s="102">
        <v>0</v>
      </c>
    </row>
    <row r="8" spans="1:2" ht="24">
      <c r="A8" s="101" t="s">
        <v>170</v>
      </c>
      <c r="B8" s="100" t="s">
        <v>261</v>
      </c>
    </row>
    <row r="9" spans="2:9" ht="24">
      <c r="B9" s="100" t="s">
        <v>262</v>
      </c>
      <c r="I9" s="102">
        <v>0</v>
      </c>
    </row>
    <row r="10" spans="1:9" ht="24">
      <c r="A10" s="101" t="s">
        <v>171</v>
      </c>
      <c r="B10" s="100" t="s">
        <v>331</v>
      </c>
      <c r="I10" s="102"/>
    </row>
    <row r="11" spans="2:9" ht="24">
      <c r="B11" s="100" t="s">
        <v>332</v>
      </c>
      <c r="I11" s="102">
        <v>0</v>
      </c>
    </row>
    <row r="12" spans="1:9" ht="24">
      <c r="A12" s="101" t="s">
        <v>172</v>
      </c>
      <c r="B12" s="100" t="s">
        <v>333</v>
      </c>
      <c r="I12" s="102"/>
    </row>
    <row r="13" spans="1:2" ht="24">
      <c r="A13" s="101" t="s">
        <v>173</v>
      </c>
      <c r="B13" s="100" t="s">
        <v>263</v>
      </c>
    </row>
    <row r="14" ht="24">
      <c r="B14" s="100" t="s">
        <v>264</v>
      </c>
    </row>
    <row r="15" spans="2:9" ht="24">
      <c r="B15" s="100" t="s">
        <v>334</v>
      </c>
      <c r="I15" s="102">
        <v>0</v>
      </c>
    </row>
    <row r="16" spans="1:9" ht="24">
      <c r="A16" s="101" t="s">
        <v>174</v>
      </c>
      <c r="B16" s="100" t="s">
        <v>335</v>
      </c>
      <c r="G16" s="103"/>
      <c r="I16" s="102">
        <v>0</v>
      </c>
    </row>
    <row r="17" spans="6:9" ht="24.75" thickBot="1">
      <c r="F17" s="100" t="s">
        <v>266</v>
      </c>
      <c r="I17" s="105">
        <v>0</v>
      </c>
    </row>
    <row r="18" ht="24.75" thickTop="1">
      <c r="I18" s="99"/>
    </row>
    <row r="19" ht="24">
      <c r="I19" s="99"/>
    </row>
    <row r="20" ht="24">
      <c r="I20" s="99"/>
    </row>
    <row r="22" spans="1:17" ht="23.25">
      <c r="A22" s="13"/>
      <c r="B22" s="14"/>
      <c r="C22" s="12"/>
      <c r="D22" s="1"/>
      <c r="E22" s="58"/>
      <c r="F22" s="12"/>
      <c r="G22" s="13"/>
      <c r="H22" s="58"/>
      <c r="I22" s="58"/>
      <c r="J22" s="58"/>
      <c r="K22" s="13"/>
      <c r="L22" s="12"/>
      <c r="M22" s="58"/>
      <c r="N22" s="58"/>
      <c r="O22" s="58"/>
      <c r="P22" s="58"/>
      <c r="Q22" s="58"/>
    </row>
    <row r="23" spans="1:17" ht="23.25">
      <c r="A23" s="13"/>
      <c r="B23" s="14"/>
      <c r="C23" s="12"/>
      <c r="D23" s="1"/>
      <c r="E23" s="58"/>
      <c r="F23" s="12"/>
      <c r="G23" s="13"/>
      <c r="H23" s="58"/>
      <c r="I23" s="58"/>
      <c r="J23" s="58"/>
      <c r="K23" s="13"/>
      <c r="L23" s="12"/>
      <c r="M23" s="58"/>
      <c r="N23" s="58"/>
      <c r="O23" s="58"/>
      <c r="P23" s="58"/>
      <c r="Q23" s="58"/>
    </row>
    <row r="24" spans="1:17" ht="23.25">
      <c r="A24" s="1"/>
      <c r="B24" s="13"/>
      <c r="C24" s="14"/>
      <c r="D24" s="12"/>
      <c r="E24" s="1"/>
      <c r="F24" s="12"/>
      <c r="G24" s="13"/>
      <c r="H24" s="12"/>
      <c r="I24" s="58"/>
      <c r="J24" s="58"/>
      <c r="K24" s="58"/>
      <c r="L24" s="58"/>
      <c r="M24" s="58"/>
      <c r="N24" s="58"/>
      <c r="O24" s="58"/>
      <c r="P24" s="58"/>
      <c r="Q24" s="58"/>
    </row>
    <row r="25" spans="1:17" ht="23.25">
      <c r="A25" s="1"/>
      <c r="B25" s="13"/>
      <c r="C25" s="14"/>
      <c r="D25" s="12"/>
      <c r="E25" s="1"/>
      <c r="F25" s="12"/>
      <c r="G25" s="13"/>
      <c r="H25" s="12"/>
      <c r="I25" s="58"/>
      <c r="J25" s="58"/>
      <c r="K25" s="58"/>
      <c r="L25" s="58"/>
      <c r="M25" s="58"/>
      <c r="N25" s="58"/>
      <c r="O25" s="58"/>
      <c r="P25" s="58"/>
      <c r="Q25" s="58"/>
    </row>
    <row r="26" spans="1:17" ht="23.25">
      <c r="A26" s="370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</row>
    <row r="27" spans="1:17" ht="23.25">
      <c r="A27" s="370"/>
      <c r="B27" s="370"/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</row>
    <row r="28" spans="1:17" ht="23.25">
      <c r="A28" s="370"/>
      <c r="B28" s="370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</row>
    <row r="29" spans="1:17" ht="23.25">
      <c r="A29" s="370"/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</row>
  </sheetData>
  <mergeCells count="9">
    <mergeCell ref="A29:Q29"/>
    <mergeCell ref="A5:I5"/>
    <mergeCell ref="A26:Q26"/>
    <mergeCell ref="A27:Q27"/>
    <mergeCell ref="A28:Q28"/>
    <mergeCell ref="A1:J1"/>
    <mergeCell ref="A2:J2"/>
    <mergeCell ref="A3:J3"/>
    <mergeCell ref="A4:J4"/>
  </mergeCells>
  <printOptions/>
  <pageMargins left="0.75" right="0.75" top="1" bottom="1" header="0.5" footer="0.5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I16" sqref="I16"/>
    </sheetView>
  </sheetViews>
  <sheetFormatPr defaultColWidth="9.140625" defaultRowHeight="21.75"/>
  <cols>
    <col min="1" max="1" width="9.140625" style="1" customWidth="1"/>
    <col min="2" max="2" width="6.421875" style="1" customWidth="1"/>
    <col min="3" max="3" width="35.140625" style="1" customWidth="1"/>
    <col min="4" max="6" width="15.7109375" style="1" customWidth="1"/>
    <col min="7" max="8" width="9.140625" style="1" customWidth="1"/>
    <col min="9" max="9" width="15.7109375" style="1" customWidth="1"/>
    <col min="10" max="16384" width="9.140625" style="1" customWidth="1"/>
  </cols>
  <sheetData>
    <row r="1" spans="1:7" ht="23.25">
      <c r="A1" s="361" t="s">
        <v>292</v>
      </c>
      <c r="B1" s="361"/>
      <c r="C1" s="361"/>
      <c r="D1" s="361"/>
      <c r="E1" s="361"/>
      <c r="F1" s="361"/>
      <c r="G1" s="361"/>
    </row>
    <row r="2" spans="1:7" ht="23.25">
      <c r="A2" s="361" t="s">
        <v>0</v>
      </c>
      <c r="B2" s="361"/>
      <c r="C2" s="361"/>
      <c r="D2" s="361"/>
      <c r="E2" s="361"/>
      <c r="F2" s="361"/>
      <c r="G2" s="361"/>
    </row>
    <row r="3" spans="1:7" ht="23.25">
      <c r="A3" s="361" t="s">
        <v>37</v>
      </c>
      <c r="B3" s="361"/>
      <c r="C3" s="361"/>
      <c r="D3" s="361"/>
      <c r="E3" s="361"/>
      <c r="F3" s="361"/>
      <c r="G3" s="361"/>
    </row>
    <row r="4" spans="1:7" ht="23.25">
      <c r="A4" s="361" t="s">
        <v>598</v>
      </c>
      <c r="B4" s="361"/>
      <c r="C4" s="361"/>
      <c r="D4" s="361"/>
      <c r="E4" s="361"/>
      <c r="F4" s="361"/>
      <c r="G4" s="361"/>
    </row>
    <row r="6" ht="23.25">
      <c r="A6" s="1" t="s">
        <v>278</v>
      </c>
    </row>
    <row r="8" spans="1:6" ht="23.25">
      <c r="A8" s="1" t="s">
        <v>607</v>
      </c>
      <c r="E8" s="12"/>
      <c r="F8" s="12">
        <v>11406720.73</v>
      </c>
    </row>
    <row r="9" spans="1:6" ht="23.25">
      <c r="A9" s="112" t="s">
        <v>274</v>
      </c>
      <c r="B9" s="1" t="s">
        <v>275</v>
      </c>
      <c r="E9" s="12">
        <v>7085321.51</v>
      </c>
      <c r="F9" s="12"/>
    </row>
    <row r="10" spans="2:6" ht="23.25">
      <c r="B10" s="1" t="s">
        <v>277</v>
      </c>
      <c r="E10" s="12">
        <v>2265.38</v>
      </c>
      <c r="F10" s="12"/>
    </row>
    <row r="11" spans="2:9" ht="23.25">
      <c r="B11" s="1" t="s">
        <v>316</v>
      </c>
      <c r="E11" s="12">
        <f>74290+73313.13</f>
        <v>147603.13</v>
      </c>
      <c r="F11" s="12"/>
      <c r="I11" s="109"/>
    </row>
    <row r="12" spans="2:6" ht="25.5">
      <c r="B12" s="1" t="s">
        <v>674</v>
      </c>
      <c r="E12" s="59">
        <v>0</v>
      </c>
      <c r="F12" s="12"/>
    </row>
    <row r="13" spans="3:6" ht="23.25">
      <c r="C13" s="1" t="s">
        <v>61</v>
      </c>
      <c r="E13" s="12">
        <f>SUM(E9:E12)</f>
        <v>7235190.02</v>
      </c>
      <c r="F13" s="12">
        <f>F8+E13</f>
        <v>18641910.75</v>
      </c>
    </row>
    <row r="14" spans="1:6" ht="23.25">
      <c r="A14" s="112" t="s">
        <v>276</v>
      </c>
      <c r="B14" s="1" t="s">
        <v>279</v>
      </c>
      <c r="D14" s="12">
        <v>0</v>
      </c>
      <c r="E14" s="12"/>
      <c r="F14" s="12"/>
    </row>
    <row r="15" spans="2:9" ht="23.25">
      <c r="B15" s="1" t="s">
        <v>93</v>
      </c>
      <c r="D15" s="12">
        <v>5032304</v>
      </c>
      <c r="E15" s="12"/>
      <c r="F15" s="12"/>
      <c r="I15" s="109"/>
    </row>
    <row r="16" spans="2:6" ht="25.5">
      <c r="B16" s="1" t="s">
        <v>317</v>
      </c>
      <c r="D16" s="59">
        <f>E9*25/100</f>
        <v>1771330.3775</v>
      </c>
      <c r="E16" s="12"/>
      <c r="F16" s="12"/>
    </row>
    <row r="17" spans="3:6" ht="25.5">
      <c r="C17" s="1" t="s">
        <v>61</v>
      </c>
      <c r="D17" s="109">
        <f>SUM(D14:D16)</f>
        <v>6803634.3774999995</v>
      </c>
      <c r="E17" s="59">
        <f>SUM(D17)</f>
        <v>6803634.3774999995</v>
      </c>
      <c r="F17" s="59">
        <f>E13-E17</f>
        <v>431555.6425000001</v>
      </c>
    </row>
    <row r="18" spans="3:9" ht="25.5">
      <c r="C18" s="61" t="s">
        <v>606</v>
      </c>
      <c r="D18" s="61"/>
      <c r="E18" s="111"/>
      <c r="F18" s="113">
        <f>F8+F17</f>
        <v>11838276.3725</v>
      </c>
      <c r="I18" s="109"/>
    </row>
    <row r="19" spans="5:6" ht="23.25">
      <c r="E19" s="12"/>
      <c r="F19" s="12"/>
    </row>
    <row r="20" ht="23.25">
      <c r="E20" s="109"/>
    </row>
    <row r="21" spans="1:6" ht="23.25">
      <c r="A21" s="359" t="s">
        <v>367</v>
      </c>
      <c r="B21" s="359"/>
      <c r="C21" s="359"/>
      <c r="D21" s="359"/>
      <c r="E21" s="359"/>
      <c r="F21" s="359"/>
    </row>
    <row r="22" spans="1:6" ht="23.25">
      <c r="A22" s="359" t="s">
        <v>560</v>
      </c>
      <c r="B22" s="359"/>
      <c r="C22" s="359"/>
      <c r="D22" s="359"/>
      <c r="E22" s="359"/>
      <c r="F22" s="359"/>
    </row>
    <row r="23" spans="1:6" ht="23.25">
      <c r="A23" s="370" t="s">
        <v>561</v>
      </c>
      <c r="B23" s="370"/>
      <c r="C23" s="370"/>
      <c r="D23" s="370"/>
      <c r="E23" s="370"/>
      <c r="F23" s="370"/>
    </row>
    <row r="24" spans="1:6" ht="23.25">
      <c r="A24" s="370" t="s">
        <v>562</v>
      </c>
      <c r="B24" s="370"/>
      <c r="C24" s="370"/>
      <c r="D24" s="370"/>
      <c r="E24" s="370"/>
      <c r="F24" s="370"/>
    </row>
    <row r="25" spans="1:6" ht="23.25">
      <c r="A25" s="5"/>
      <c r="B25" s="5"/>
      <c r="C25" s="5"/>
      <c r="D25" s="5"/>
      <c r="E25" s="5"/>
      <c r="F25" s="5"/>
    </row>
    <row r="26" spans="1:6" ht="23.25">
      <c r="A26" s="5"/>
      <c r="B26" s="5"/>
      <c r="C26" s="5"/>
      <c r="D26" s="5"/>
      <c r="E26" s="5"/>
      <c r="F26" s="5"/>
    </row>
    <row r="27" spans="1:6" ht="23.25">
      <c r="A27" s="370" t="s">
        <v>470</v>
      </c>
      <c r="B27" s="370"/>
      <c r="C27" s="370"/>
      <c r="D27" s="370"/>
      <c r="E27" s="370"/>
      <c r="F27" s="370"/>
    </row>
    <row r="28" spans="1:6" ht="23.25">
      <c r="A28" s="370" t="s">
        <v>336</v>
      </c>
      <c r="B28" s="370"/>
      <c r="C28" s="370"/>
      <c r="D28" s="370"/>
      <c r="E28" s="370"/>
      <c r="F28" s="370"/>
    </row>
    <row r="29" spans="1:6" ht="23.25">
      <c r="A29" s="370" t="s">
        <v>563</v>
      </c>
      <c r="B29" s="370"/>
      <c r="C29" s="370"/>
      <c r="D29" s="370"/>
      <c r="E29" s="370"/>
      <c r="F29" s="370"/>
    </row>
    <row r="30" spans="1:6" ht="23.25">
      <c r="A30" s="199"/>
      <c r="B30" s="199"/>
      <c r="C30" s="251"/>
      <c r="D30" s="199"/>
      <c r="E30" s="199"/>
      <c r="F30" s="251"/>
    </row>
    <row r="31" spans="1:6" ht="23.25">
      <c r="A31" s="199"/>
      <c r="B31" s="199"/>
      <c r="C31" s="199"/>
      <c r="D31" s="199"/>
      <c r="E31" s="199"/>
      <c r="F31" s="199"/>
    </row>
    <row r="32" spans="1:6" ht="23.25">
      <c r="A32" s="370" t="s">
        <v>564</v>
      </c>
      <c r="B32" s="370"/>
      <c r="C32" s="370"/>
      <c r="D32" s="370"/>
      <c r="E32" s="370"/>
      <c r="F32" s="370"/>
    </row>
    <row r="33" spans="1:6" ht="23.25">
      <c r="A33" s="370" t="s">
        <v>565</v>
      </c>
      <c r="B33" s="370"/>
      <c r="C33" s="370"/>
      <c r="D33" s="370"/>
      <c r="E33" s="370"/>
      <c r="F33" s="370"/>
    </row>
    <row r="34" spans="1:6" ht="23.25">
      <c r="A34" s="370" t="s">
        <v>293</v>
      </c>
      <c r="B34" s="370"/>
      <c r="C34" s="370"/>
      <c r="D34" s="370"/>
      <c r="E34" s="370"/>
      <c r="F34" s="370"/>
    </row>
  </sheetData>
  <mergeCells count="14">
    <mergeCell ref="A32:F32"/>
    <mergeCell ref="A33:F33"/>
    <mergeCell ref="A34:F34"/>
    <mergeCell ref="A22:F22"/>
    <mergeCell ref="A23:F23"/>
    <mergeCell ref="A29:F29"/>
    <mergeCell ref="A27:F27"/>
    <mergeCell ref="A28:F28"/>
    <mergeCell ref="A24:F24"/>
    <mergeCell ref="A21:F21"/>
    <mergeCell ref="A1:G1"/>
    <mergeCell ref="A2:G2"/>
    <mergeCell ref="A3:G3"/>
    <mergeCell ref="A4:G4"/>
  </mergeCells>
  <printOptions/>
  <pageMargins left="0.75" right="0.34" top="0.67" bottom="0.6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A43" sqref="A43"/>
    </sheetView>
  </sheetViews>
  <sheetFormatPr defaultColWidth="9.140625" defaultRowHeight="21.75"/>
  <cols>
    <col min="1" max="1" width="56.00390625" style="1" customWidth="1"/>
    <col min="2" max="2" width="11.28125" style="1" customWidth="1"/>
    <col min="3" max="4" width="17.7109375" style="12" customWidth="1"/>
    <col min="5" max="5" width="23.8515625" style="1" customWidth="1"/>
    <col min="6" max="16384" width="9.140625" style="1" customWidth="1"/>
  </cols>
  <sheetData>
    <row r="1" spans="1:4" ht="23.25">
      <c r="A1" s="361" t="s">
        <v>0</v>
      </c>
      <c r="B1" s="361"/>
      <c r="C1" s="361"/>
      <c r="D1" s="361"/>
    </row>
    <row r="2" spans="1:4" ht="22.5" customHeight="1">
      <c r="A2" s="361" t="s">
        <v>48</v>
      </c>
      <c r="B2" s="361"/>
      <c r="C2" s="361"/>
      <c r="D2" s="361"/>
    </row>
    <row r="3" spans="1:4" ht="23.25">
      <c r="A3" s="361" t="s">
        <v>552</v>
      </c>
      <c r="B3" s="361"/>
      <c r="C3" s="361"/>
      <c r="D3" s="361"/>
    </row>
    <row r="4" spans="1:4" ht="23.25">
      <c r="A4" s="2"/>
      <c r="B4" s="2"/>
      <c r="C4" s="2"/>
      <c r="D4" s="2"/>
    </row>
    <row r="5" spans="1:4" s="5" customFormat="1" ht="23.25">
      <c r="A5" s="3" t="s">
        <v>5</v>
      </c>
      <c r="B5" s="3" t="s">
        <v>49</v>
      </c>
      <c r="C5" s="4" t="s">
        <v>50</v>
      </c>
      <c r="D5" s="4" t="s">
        <v>51</v>
      </c>
    </row>
    <row r="6" spans="1:4" ht="23.25">
      <c r="A6" s="124" t="s">
        <v>52</v>
      </c>
      <c r="B6" s="125" t="s">
        <v>345</v>
      </c>
      <c r="C6" s="34">
        <v>0</v>
      </c>
      <c r="D6" s="126">
        <v>0</v>
      </c>
    </row>
    <row r="7" spans="1:5" ht="23.25">
      <c r="A7" s="8" t="s">
        <v>56</v>
      </c>
      <c r="B7" s="127" t="s">
        <v>346</v>
      </c>
      <c r="C7" s="9">
        <v>73713.8</v>
      </c>
      <c r="D7" s="128">
        <v>0</v>
      </c>
      <c r="E7" s="109"/>
    </row>
    <row r="8" spans="1:4" ht="23.25">
      <c r="A8" s="8" t="s">
        <v>468</v>
      </c>
      <c r="B8" s="127" t="s">
        <v>347</v>
      </c>
      <c r="C8" s="9">
        <v>17828627.69</v>
      </c>
      <c r="D8" s="128">
        <v>0</v>
      </c>
    </row>
    <row r="9" spans="1:4" ht="23.25">
      <c r="A9" s="8" t="s">
        <v>54</v>
      </c>
      <c r="B9" s="127" t="s">
        <v>348</v>
      </c>
      <c r="C9" s="9">
        <v>402393.76</v>
      </c>
      <c r="D9" s="128">
        <v>0</v>
      </c>
    </row>
    <row r="10" spans="1:4" ht="23.25">
      <c r="A10" s="8" t="s">
        <v>55</v>
      </c>
      <c r="B10" s="127" t="s">
        <v>349</v>
      </c>
      <c r="C10" s="9">
        <v>201844.95</v>
      </c>
      <c r="D10" s="128">
        <v>0</v>
      </c>
    </row>
    <row r="11" spans="1:4" ht="23.25">
      <c r="A11" s="8" t="s">
        <v>553</v>
      </c>
      <c r="B11" s="127" t="s">
        <v>350</v>
      </c>
      <c r="C11" s="9">
        <v>8805594.12</v>
      </c>
      <c r="D11" s="128">
        <v>0</v>
      </c>
    </row>
    <row r="12" spans="1:5" ht="23.25">
      <c r="A12" s="8" t="s">
        <v>351</v>
      </c>
      <c r="B12" s="127" t="s">
        <v>352</v>
      </c>
      <c r="C12" s="9">
        <v>1581.3</v>
      </c>
      <c r="D12" s="128">
        <v>0</v>
      </c>
      <c r="E12" s="109"/>
    </row>
    <row r="13" spans="1:4" ht="23.25">
      <c r="A13" s="8" t="s">
        <v>62</v>
      </c>
      <c r="B13" s="127" t="s">
        <v>353</v>
      </c>
      <c r="C13" s="9">
        <v>718600</v>
      </c>
      <c r="D13" s="128">
        <v>0</v>
      </c>
    </row>
    <row r="14" spans="1:4" ht="23.25">
      <c r="A14" s="8" t="s">
        <v>554</v>
      </c>
      <c r="B14" s="127" t="s">
        <v>555</v>
      </c>
      <c r="C14" s="128">
        <v>0</v>
      </c>
      <c r="D14" s="128">
        <v>0</v>
      </c>
    </row>
    <row r="15" spans="1:4" ht="23.25">
      <c r="A15" s="8" t="s">
        <v>556</v>
      </c>
      <c r="B15" s="127" t="s">
        <v>555</v>
      </c>
      <c r="C15" s="128">
        <v>0</v>
      </c>
      <c r="D15" s="128">
        <v>0</v>
      </c>
    </row>
    <row r="16" spans="1:4" ht="23.25">
      <c r="A16" s="8" t="s">
        <v>29</v>
      </c>
      <c r="B16" s="127" t="s">
        <v>90</v>
      </c>
      <c r="C16" s="9">
        <v>2289179.2</v>
      </c>
      <c r="D16" s="128">
        <v>0</v>
      </c>
    </row>
    <row r="17" spans="1:4" ht="23.25">
      <c r="A17" s="8" t="s">
        <v>69</v>
      </c>
      <c r="B17" s="127" t="s">
        <v>354</v>
      </c>
      <c r="C17" s="9">
        <v>4266743.93</v>
      </c>
      <c r="D17" s="128">
        <v>0</v>
      </c>
    </row>
    <row r="18" spans="1:4" ht="23.25">
      <c r="A18" s="8" t="s">
        <v>339</v>
      </c>
      <c r="B18" s="127" t="s">
        <v>91</v>
      </c>
      <c r="C18" s="9">
        <v>2554360</v>
      </c>
      <c r="D18" s="128">
        <v>0</v>
      </c>
    </row>
    <row r="19" spans="1:4" ht="23.25">
      <c r="A19" s="8" t="s">
        <v>31</v>
      </c>
      <c r="B19" s="127" t="s">
        <v>41</v>
      </c>
      <c r="C19" s="9">
        <v>2584962.19</v>
      </c>
      <c r="D19" s="128">
        <v>0</v>
      </c>
    </row>
    <row r="20" spans="1:4" ht="23.25">
      <c r="A20" s="8" t="s">
        <v>32</v>
      </c>
      <c r="B20" s="127" t="s">
        <v>42</v>
      </c>
      <c r="C20" s="9">
        <v>8168653.62</v>
      </c>
      <c r="D20" s="128">
        <v>0</v>
      </c>
    </row>
    <row r="21" spans="1:5" ht="23.25">
      <c r="A21" s="8" t="s">
        <v>33</v>
      </c>
      <c r="B21" s="127" t="s">
        <v>43</v>
      </c>
      <c r="C21" s="9">
        <v>2865154.12</v>
      </c>
      <c r="D21" s="128">
        <v>0</v>
      </c>
      <c r="E21" s="109"/>
    </row>
    <row r="22" spans="1:4" ht="23.25">
      <c r="A22" s="8" t="s">
        <v>34</v>
      </c>
      <c r="B22" s="127" t="s">
        <v>44</v>
      </c>
      <c r="C22" s="9">
        <v>218568.28</v>
      </c>
      <c r="D22" s="128">
        <v>0</v>
      </c>
    </row>
    <row r="23" spans="1:4" ht="23.25">
      <c r="A23" s="8" t="s">
        <v>17</v>
      </c>
      <c r="B23" s="127" t="s">
        <v>45</v>
      </c>
      <c r="C23" s="9">
        <v>1680994.79</v>
      </c>
      <c r="D23" s="128">
        <v>0</v>
      </c>
    </row>
    <row r="24" spans="1:4" ht="23.25">
      <c r="A24" s="8" t="s">
        <v>557</v>
      </c>
      <c r="B24" s="127" t="s">
        <v>45</v>
      </c>
      <c r="C24" s="9">
        <v>3458000</v>
      </c>
      <c r="D24" s="128">
        <v>0</v>
      </c>
    </row>
    <row r="25" spans="1:4" ht="23.25">
      <c r="A25" s="8" t="s">
        <v>548</v>
      </c>
      <c r="B25" s="127" t="s">
        <v>45</v>
      </c>
      <c r="C25" s="9">
        <f>1227900+195720</f>
        <v>1423620</v>
      </c>
      <c r="D25" s="128">
        <v>0</v>
      </c>
    </row>
    <row r="26" spans="1:4" ht="23.25">
      <c r="A26" s="8" t="s">
        <v>35</v>
      </c>
      <c r="B26" s="127" t="s">
        <v>46</v>
      </c>
      <c r="C26" s="9">
        <v>151160</v>
      </c>
      <c r="D26" s="128">
        <v>0</v>
      </c>
    </row>
    <row r="27" spans="1:4" ht="23.25">
      <c r="A27" s="8" t="s">
        <v>355</v>
      </c>
      <c r="B27" s="127" t="s">
        <v>47</v>
      </c>
      <c r="C27" s="9">
        <v>5141524</v>
      </c>
      <c r="D27" s="128">
        <v>0</v>
      </c>
    </row>
    <row r="28" spans="1:4" ht="23.25">
      <c r="A28" s="8" t="s">
        <v>68</v>
      </c>
      <c r="B28" s="127" t="s">
        <v>356</v>
      </c>
      <c r="C28" s="9">
        <v>0</v>
      </c>
      <c r="D28" s="9">
        <f>1104330.06+2025540+2815023.06+4951853.07+4732528.69-11255+1896704.05+4917960.78+6559157.48+2582101.86+4196329.32+3949960.14+5000+2160564.13+2444</f>
        <v>41888241.64000001</v>
      </c>
    </row>
    <row r="29" spans="1:4" ht="23.25">
      <c r="A29" s="8" t="s">
        <v>558</v>
      </c>
      <c r="B29" s="127" t="s">
        <v>559</v>
      </c>
      <c r="C29" s="9">
        <v>0</v>
      </c>
      <c r="D29" s="9">
        <v>3846.68</v>
      </c>
    </row>
    <row r="30" spans="1:4" ht="23.25">
      <c r="A30" s="8" t="s">
        <v>37</v>
      </c>
      <c r="B30" s="127" t="s">
        <v>357</v>
      </c>
      <c r="C30" s="9">
        <v>0</v>
      </c>
      <c r="D30" s="9">
        <v>6448706.73</v>
      </c>
    </row>
    <row r="31" spans="1:4" ht="23.25">
      <c r="A31" s="8" t="s">
        <v>300</v>
      </c>
      <c r="B31" s="127" t="s">
        <v>358</v>
      </c>
      <c r="C31" s="9">
        <v>0</v>
      </c>
      <c r="D31" s="9">
        <v>9611431.93</v>
      </c>
    </row>
    <row r="32" spans="1:4" ht="25.5" customHeight="1">
      <c r="A32" s="8" t="s">
        <v>57</v>
      </c>
      <c r="B32" s="127" t="s">
        <v>359</v>
      </c>
      <c r="C32" s="9">
        <v>0</v>
      </c>
      <c r="D32" s="9">
        <v>2811459.33</v>
      </c>
    </row>
    <row r="33" spans="1:5" ht="23.25">
      <c r="A33" s="8" t="s">
        <v>60</v>
      </c>
      <c r="B33" s="127" t="s">
        <v>360</v>
      </c>
      <c r="C33" s="9">
        <v>0</v>
      </c>
      <c r="D33" s="9">
        <v>50235.56</v>
      </c>
      <c r="E33" s="12"/>
    </row>
    <row r="34" spans="1:5" ht="23.25">
      <c r="A34" s="197" t="s">
        <v>59</v>
      </c>
      <c r="B34" s="129" t="s">
        <v>361</v>
      </c>
      <c r="C34" s="10">
        <v>0</v>
      </c>
      <c r="D34" s="10">
        <v>887620</v>
      </c>
      <c r="E34" s="12"/>
    </row>
    <row r="35" spans="1:5" ht="23.25">
      <c r="A35" s="124" t="s">
        <v>64</v>
      </c>
      <c r="B35" s="125" t="s">
        <v>362</v>
      </c>
      <c r="C35" s="34">
        <v>0</v>
      </c>
      <c r="D35" s="34">
        <v>1756.26</v>
      </c>
      <c r="E35" s="12"/>
    </row>
    <row r="36" spans="1:5" ht="23.25">
      <c r="A36" s="6" t="s">
        <v>65</v>
      </c>
      <c r="B36" s="130" t="s">
        <v>363</v>
      </c>
      <c r="C36" s="7">
        <v>0</v>
      </c>
      <c r="D36" s="7">
        <v>2108.75</v>
      </c>
      <c r="E36" s="12"/>
    </row>
    <row r="37" spans="1:5" ht="23.25">
      <c r="A37" s="8" t="s">
        <v>63</v>
      </c>
      <c r="B37" s="127" t="s">
        <v>364</v>
      </c>
      <c r="C37" s="9">
        <v>0</v>
      </c>
      <c r="D37" s="9">
        <v>2371.15</v>
      </c>
      <c r="E37" s="12"/>
    </row>
    <row r="38" spans="1:5" ht="23.25">
      <c r="A38" s="6" t="s">
        <v>58</v>
      </c>
      <c r="B38" s="130" t="s">
        <v>365</v>
      </c>
      <c r="C38" s="7">
        <v>0</v>
      </c>
      <c r="D38" s="7">
        <v>1120993.76</v>
      </c>
      <c r="E38" s="12"/>
    </row>
    <row r="39" spans="1:5" ht="23.25">
      <c r="A39" s="8" t="s">
        <v>87</v>
      </c>
      <c r="B39" s="127" t="s">
        <v>366</v>
      </c>
      <c r="C39" s="9">
        <v>0</v>
      </c>
      <c r="D39" s="9">
        <v>6503.96</v>
      </c>
      <c r="E39" s="12"/>
    </row>
    <row r="40" spans="1:5" ht="24" thickBot="1">
      <c r="A40" s="97" t="s">
        <v>61</v>
      </c>
      <c r="B40" s="98"/>
      <c r="C40" s="31">
        <f>SUM(C6:C39)</f>
        <v>62835275.74999999</v>
      </c>
      <c r="D40" s="31">
        <f>SUM(D28:D39)</f>
        <v>62835275.75000001</v>
      </c>
      <c r="E40" s="12"/>
    </row>
    <row r="41" spans="1:5" ht="24" thickTop="1">
      <c r="A41" s="27"/>
      <c r="B41" s="131"/>
      <c r="C41" s="186"/>
      <c r="D41" s="48"/>
      <c r="E41" s="12"/>
    </row>
    <row r="42" spans="1:5" ht="23.25">
      <c r="A42" s="27"/>
      <c r="B42" s="131"/>
      <c r="C42" s="186"/>
      <c r="D42" s="48"/>
      <c r="E42" s="12"/>
    </row>
    <row r="43" spans="1:5" ht="23.25">
      <c r="A43" s="27"/>
      <c r="B43" s="131"/>
      <c r="C43" s="186"/>
      <c r="D43" s="48"/>
      <c r="E43" s="12"/>
    </row>
    <row r="44" spans="1:4" ht="23.25">
      <c r="A44" s="27"/>
      <c r="B44" s="131"/>
      <c r="C44" s="48"/>
      <c r="D44" s="48"/>
    </row>
    <row r="45" spans="1:5" ht="23.25">
      <c r="A45" s="359" t="s">
        <v>367</v>
      </c>
      <c r="B45" s="359"/>
      <c r="C45" s="359"/>
      <c r="D45" s="359"/>
      <c r="E45" s="12"/>
    </row>
    <row r="46" spans="1:5" ht="23.25">
      <c r="A46" s="359" t="s">
        <v>560</v>
      </c>
      <c r="B46" s="359"/>
      <c r="C46" s="359"/>
      <c r="D46" s="359"/>
      <c r="E46" s="12"/>
    </row>
    <row r="47" spans="1:5" ht="23.25">
      <c r="A47" s="370" t="s">
        <v>561</v>
      </c>
      <c r="B47" s="370"/>
      <c r="C47" s="370"/>
      <c r="D47" s="370"/>
      <c r="E47" s="12"/>
    </row>
    <row r="48" spans="1:4" ht="23.25">
      <c r="A48" s="370" t="s">
        <v>562</v>
      </c>
      <c r="B48" s="370"/>
      <c r="C48" s="370"/>
      <c r="D48" s="370"/>
    </row>
    <row r="49" spans="1:4" ht="23.25">
      <c r="A49" s="5"/>
      <c r="B49" s="5"/>
      <c r="C49" s="5"/>
      <c r="D49" s="5"/>
    </row>
    <row r="50" spans="1:4" ht="23.25">
      <c r="A50" s="5"/>
      <c r="B50" s="5"/>
      <c r="C50" s="5"/>
      <c r="D50" s="5"/>
    </row>
    <row r="51" spans="1:4" ht="23.25">
      <c r="A51" s="370" t="s">
        <v>470</v>
      </c>
      <c r="B51" s="370"/>
      <c r="C51" s="370"/>
      <c r="D51" s="370"/>
    </row>
    <row r="52" spans="1:4" ht="23.25">
      <c r="A52" s="370" t="s">
        <v>336</v>
      </c>
      <c r="B52" s="370"/>
      <c r="C52" s="370"/>
      <c r="D52" s="370"/>
    </row>
    <row r="53" spans="1:4" ht="23.25">
      <c r="A53" s="370" t="s">
        <v>563</v>
      </c>
      <c r="B53" s="370"/>
      <c r="C53" s="370"/>
      <c r="D53" s="370"/>
    </row>
    <row r="55" spans="1:4" ht="23.25">
      <c r="A55" s="370"/>
      <c r="B55" s="370"/>
      <c r="C55" s="370"/>
      <c r="D55" s="370"/>
    </row>
    <row r="56" spans="1:4" ht="23.25">
      <c r="A56" s="370" t="s">
        <v>564</v>
      </c>
      <c r="B56" s="370"/>
      <c r="C56" s="370"/>
      <c r="D56" s="370"/>
    </row>
    <row r="57" spans="1:4" ht="23.25">
      <c r="A57" s="370" t="s">
        <v>565</v>
      </c>
      <c r="B57" s="370"/>
      <c r="C57" s="370"/>
      <c r="D57" s="370"/>
    </row>
    <row r="58" spans="1:4" ht="23.25">
      <c r="A58" s="370" t="s">
        <v>293</v>
      </c>
      <c r="B58" s="370"/>
      <c r="C58" s="370"/>
      <c r="D58" s="370"/>
    </row>
  </sheetData>
  <mergeCells count="14">
    <mergeCell ref="A1:D1"/>
    <mergeCell ref="A2:D2"/>
    <mergeCell ref="A3:D3"/>
    <mergeCell ref="A46:D46"/>
    <mergeCell ref="A58:D58"/>
    <mergeCell ref="A45:D45"/>
    <mergeCell ref="A55:D55"/>
    <mergeCell ref="A56:D56"/>
    <mergeCell ref="A57:D57"/>
    <mergeCell ref="A47:D47"/>
    <mergeCell ref="A48:D48"/>
    <mergeCell ref="A51:D51"/>
    <mergeCell ref="A52:D52"/>
    <mergeCell ref="A53:D53"/>
  </mergeCells>
  <printOptions/>
  <pageMargins left="0.74" right="0.31496062992125984" top="0.7086614173228347" bottom="0.7480314960629921" header="0.5118110236220472" footer="0.4724409448818898"/>
  <pageSetup horizontalDpi="300" verticalDpi="300" orientation="portrait" paperSize="9" r:id="rId1"/>
  <headerFooter alignWithMargins="0">
    <oddHeader>&amp;Rหน้าที่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F25" sqref="F25"/>
    </sheetView>
  </sheetViews>
  <sheetFormatPr defaultColWidth="9.140625" defaultRowHeight="21.75"/>
  <cols>
    <col min="1" max="1" width="50.421875" style="1" customWidth="1"/>
    <col min="2" max="2" width="10.421875" style="1" customWidth="1"/>
    <col min="3" max="3" width="17.7109375" style="12" customWidth="1"/>
    <col min="4" max="4" width="17.57421875" style="12" customWidth="1"/>
    <col min="5" max="16384" width="9.140625" style="1" customWidth="1"/>
  </cols>
  <sheetData>
    <row r="1" spans="1:4" ht="23.25">
      <c r="A1" s="361" t="s">
        <v>0</v>
      </c>
      <c r="B1" s="361"/>
      <c r="C1" s="361"/>
      <c r="D1" s="361"/>
    </row>
    <row r="2" spans="1:4" ht="23.25">
      <c r="A2" s="361" t="s">
        <v>66</v>
      </c>
      <c r="B2" s="361"/>
      <c r="C2" s="361"/>
      <c r="D2" s="361"/>
    </row>
    <row r="3" spans="1:4" ht="23.25">
      <c r="A3" s="361" t="s">
        <v>598</v>
      </c>
      <c r="B3" s="361"/>
      <c r="C3" s="361"/>
      <c r="D3" s="361"/>
    </row>
    <row r="4" spans="1:4" s="5" customFormat="1" ht="23.25">
      <c r="A4" s="3" t="s">
        <v>5</v>
      </c>
      <c r="B4" s="3" t="s">
        <v>49</v>
      </c>
      <c r="C4" s="4" t="s">
        <v>50</v>
      </c>
      <c r="D4" s="4" t="s">
        <v>51</v>
      </c>
    </row>
    <row r="5" spans="1:4" ht="23.25">
      <c r="A5" s="124" t="s">
        <v>52</v>
      </c>
      <c r="B5" s="6"/>
      <c r="C5" s="34">
        <v>0</v>
      </c>
      <c r="D5" s="7"/>
    </row>
    <row r="6" spans="1:4" ht="23.25">
      <c r="A6" s="8" t="s">
        <v>56</v>
      </c>
      <c r="B6" s="8"/>
      <c r="C6" s="9">
        <v>73713.8</v>
      </c>
      <c r="D6" s="9"/>
    </row>
    <row r="7" spans="1:4" ht="23.25">
      <c r="A7" s="8" t="s">
        <v>468</v>
      </c>
      <c r="B7" s="8"/>
      <c r="C7" s="9">
        <v>17828627.69</v>
      </c>
      <c r="D7" s="9"/>
    </row>
    <row r="8" spans="1:4" ht="23.25">
      <c r="A8" s="8" t="s">
        <v>54</v>
      </c>
      <c r="B8" s="8"/>
      <c r="C8" s="9">
        <v>402393.76</v>
      </c>
      <c r="D8" s="9"/>
    </row>
    <row r="9" spans="1:4" ht="23.25">
      <c r="A9" s="8" t="s">
        <v>55</v>
      </c>
      <c r="B9" s="8"/>
      <c r="C9" s="9">
        <v>201844.95</v>
      </c>
      <c r="D9" s="9"/>
    </row>
    <row r="10" spans="1:4" ht="23.25">
      <c r="A10" s="8" t="s">
        <v>469</v>
      </c>
      <c r="B10" s="8"/>
      <c r="C10" s="9">
        <v>8805594.12</v>
      </c>
      <c r="D10" s="9"/>
    </row>
    <row r="11" spans="1:4" ht="23.25">
      <c r="A11" s="8" t="s">
        <v>318</v>
      </c>
      <c r="B11" s="8"/>
      <c r="C11" s="9">
        <v>2923.92</v>
      </c>
      <c r="D11" s="9"/>
    </row>
    <row r="12" spans="1:4" ht="23.25">
      <c r="A12" s="8" t="s">
        <v>62</v>
      </c>
      <c r="B12" s="8"/>
      <c r="C12" s="9">
        <v>718600</v>
      </c>
      <c r="D12" s="9"/>
    </row>
    <row r="13" spans="1:4" ht="23.25">
      <c r="A13" s="8" t="s">
        <v>522</v>
      </c>
      <c r="B13" s="8"/>
      <c r="C13" s="9"/>
      <c r="D13" s="9">
        <v>2923.92</v>
      </c>
    </row>
    <row r="14" spans="1:4" ht="23.25">
      <c r="A14" s="8" t="s">
        <v>37</v>
      </c>
      <c r="B14" s="8"/>
      <c r="C14" s="9"/>
      <c r="D14" s="9">
        <f>หมายเหตุ8!F18</f>
        <v>11838276.3725</v>
      </c>
    </row>
    <row r="15" spans="1:4" ht="23.25">
      <c r="A15" s="6" t="s">
        <v>319</v>
      </c>
      <c r="B15" s="8"/>
      <c r="C15" s="9"/>
      <c r="D15" s="9">
        <f>งบทดลอง!D31+หมายเหตุ8!D16</f>
        <v>11382762.3075</v>
      </c>
    </row>
    <row r="16" spans="1:4" ht="23.25">
      <c r="A16" s="8" t="s">
        <v>320</v>
      </c>
      <c r="B16" s="8"/>
      <c r="C16" s="9"/>
      <c r="D16" s="9">
        <f>หมายเหตุ4!C17</f>
        <v>2738146.2</v>
      </c>
    </row>
    <row r="17" spans="1:4" ht="23.25">
      <c r="A17" s="8" t="s">
        <v>60</v>
      </c>
      <c r="B17" s="8"/>
      <c r="C17" s="9"/>
      <c r="D17" s="7">
        <f>งบทดลอง!D33</f>
        <v>50235.56</v>
      </c>
    </row>
    <row r="18" spans="1:4" ht="23.25">
      <c r="A18" s="8" t="s">
        <v>59</v>
      </c>
      <c r="B18" s="8"/>
      <c r="C18" s="9"/>
      <c r="D18" s="9">
        <f>งบทดลอง!D34</f>
        <v>887620</v>
      </c>
    </row>
    <row r="19" spans="1:4" ht="23.25">
      <c r="A19" s="8" t="s">
        <v>64</v>
      </c>
      <c r="B19" s="8"/>
      <c r="C19" s="9"/>
      <c r="D19" s="7">
        <v>1756.26</v>
      </c>
    </row>
    <row r="20" spans="1:4" ht="23.25">
      <c r="A20" s="8" t="s">
        <v>65</v>
      </c>
      <c r="B20" s="8"/>
      <c r="C20" s="9"/>
      <c r="D20" s="7">
        <v>2108.75</v>
      </c>
    </row>
    <row r="21" spans="1:4" ht="23.25">
      <c r="A21" s="8" t="s">
        <v>63</v>
      </c>
      <c r="B21" s="8"/>
      <c r="C21" s="9"/>
      <c r="D21" s="9">
        <v>2371.15</v>
      </c>
    </row>
    <row r="22" spans="1:4" ht="23.25">
      <c r="A22" s="8" t="s">
        <v>58</v>
      </c>
      <c r="B22" s="8"/>
      <c r="C22" s="9"/>
      <c r="D22" s="7">
        <v>1120993.76</v>
      </c>
    </row>
    <row r="23" spans="1:4" ht="23.25">
      <c r="A23" s="8" t="s">
        <v>87</v>
      </c>
      <c r="B23" s="8"/>
      <c r="C23" s="9"/>
      <c r="D23" s="9">
        <v>6503.96</v>
      </c>
    </row>
    <row r="24" spans="1:4" ht="23.25">
      <c r="A24" s="97" t="s">
        <v>61</v>
      </c>
      <c r="B24" s="98"/>
      <c r="C24" s="35">
        <f>SUM(C5:C23)</f>
        <v>28033698.240000002</v>
      </c>
      <c r="D24" s="35">
        <f>SUM(D5:D23)</f>
        <v>28033698.240000002</v>
      </c>
    </row>
    <row r="25" spans="1:4" ht="23.25">
      <c r="A25" s="30"/>
      <c r="B25" s="132"/>
      <c r="C25" s="189"/>
      <c r="D25" s="188"/>
    </row>
    <row r="26" spans="1:4" ht="23.25">
      <c r="A26" s="30"/>
      <c r="B26" s="132"/>
      <c r="C26" s="189"/>
      <c r="D26" s="188"/>
    </row>
    <row r="27" spans="1:4" ht="23.25">
      <c r="A27" s="30"/>
      <c r="B27" s="321"/>
      <c r="C27" s="322"/>
      <c r="D27" s="323"/>
    </row>
    <row r="28" spans="1:4" ht="21.75" customHeight="1">
      <c r="A28" s="16"/>
      <c r="B28" s="16"/>
      <c r="C28" s="16"/>
      <c r="D28" s="16"/>
    </row>
    <row r="29" spans="1:4" ht="21.75" customHeight="1">
      <c r="A29" s="16"/>
      <c r="B29" s="16"/>
      <c r="C29" s="16"/>
      <c r="D29" s="16"/>
    </row>
    <row r="30" spans="1:4" ht="21.75" customHeight="1">
      <c r="A30" s="16"/>
      <c r="B30" s="16"/>
      <c r="C30" s="16"/>
      <c r="D30" s="16"/>
    </row>
    <row r="31" spans="1:4" ht="21.75" customHeight="1">
      <c r="A31" s="13"/>
      <c r="B31" s="13"/>
      <c r="C31" s="14"/>
      <c r="D31" s="14"/>
    </row>
  </sheetData>
  <mergeCells count="3">
    <mergeCell ref="A1:D1"/>
    <mergeCell ref="A2:D2"/>
    <mergeCell ref="A3:D3"/>
  </mergeCells>
  <printOptions/>
  <pageMargins left="0.8267716535433072" right="0.5118110236220472" top="0.2755905511811024" bottom="0.03937007874015748" header="0.1968503937007874" footer="0.1968503937007874"/>
  <pageSetup horizontalDpi="300" verticalDpi="3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0">
      <selection activeCell="C31" sqref="C31"/>
    </sheetView>
  </sheetViews>
  <sheetFormatPr defaultColWidth="9.140625" defaultRowHeight="21.75"/>
  <cols>
    <col min="1" max="1" width="5.421875" style="1" customWidth="1"/>
    <col min="2" max="2" width="41.28125" style="1" customWidth="1"/>
    <col min="3" max="4" width="16.7109375" style="1" customWidth="1"/>
    <col min="5" max="5" width="19.00390625" style="1" customWidth="1"/>
    <col min="6" max="6" width="9.140625" style="1" customWidth="1"/>
    <col min="7" max="7" width="13.8515625" style="1" bestFit="1" customWidth="1"/>
    <col min="8" max="16384" width="9.140625" style="1" customWidth="1"/>
  </cols>
  <sheetData>
    <row r="1" spans="1:5" ht="23.25">
      <c r="A1" s="370" t="s">
        <v>84</v>
      </c>
      <c r="B1" s="370"/>
      <c r="C1" s="370"/>
      <c r="D1" s="370"/>
      <c r="E1" s="370"/>
    </row>
    <row r="2" spans="1:5" ht="23.25">
      <c r="A2" s="370" t="s">
        <v>675</v>
      </c>
      <c r="B2" s="370"/>
      <c r="C2" s="370"/>
      <c r="D2" s="370"/>
      <c r="E2" s="370"/>
    </row>
    <row r="3" spans="1:5" ht="23.25">
      <c r="A3" s="370" t="s">
        <v>673</v>
      </c>
      <c r="B3" s="370"/>
      <c r="C3" s="370"/>
      <c r="D3" s="370"/>
      <c r="E3" s="370"/>
    </row>
    <row r="4" spans="1:5" ht="23.25">
      <c r="A4" s="5"/>
      <c r="B4" s="5"/>
      <c r="C4" s="5"/>
      <c r="D4" s="5"/>
      <c r="E4" s="5"/>
    </row>
    <row r="5" spans="1:5" s="5" customFormat="1" ht="23.25">
      <c r="A5" s="392" t="s">
        <v>5</v>
      </c>
      <c r="B5" s="393"/>
      <c r="C5" s="393" t="s">
        <v>2</v>
      </c>
      <c r="D5" s="393" t="s">
        <v>74</v>
      </c>
      <c r="E5" s="18" t="s">
        <v>82</v>
      </c>
    </row>
    <row r="6" spans="1:5" s="5" customFormat="1" ht="23.25">
      <c r="A6" s="394"/>
      <c r="B6" s="395"/>
      <c r="C6" s="395"/>
      <c r="D6" s="395"/>
      <c r="E6" s="17" t="s">
        <v>83</v>
      </c>
    </row>
    <row r="7" spans="1:5" ht="23.25">
      <c r="A7" s="26" t="s">
        <v>75</v>
      </c>
      <c r="B7" s="19"/>
      <c r="C7" s="19"/>
      <c r="D7" s="20"/>
      <c r="E7" s="20"/>
    </row>
    <row r="8" spans="1:5" ht="23.25">
      <c r="A8" s="27" t="s">
        <v>76</v>
      </c>
      <c r="B8" s="24"/>
      <c r="C8" s="21"/>
      <c r="D8" s="22"/>
      <c r="E8" s="22"/>
    </row>
    <row r="9" spans="1:5" ht="23.25">
      <c r="A9" s="27"/>
      <c r="B9" s="24" t="s">
        <v>10</v>
      </c>
      <c r="C9" s="68">
        <f>820000+10000+175000</f>
        <v>1005000</v>
      </c>
      <c r="D9" s="68">
        <f>871919.34+8008.62+229991</f>
        <v>1109918.96</v>
      </c>
      <c r="E9" s="23">
        <f>D9-C9</f>
        <v>104918.95999999996</v>
      </c>
    </row>
    <row r="10" spans="1:5" ht="23.25">
      <c r="A10" s="27"/>
      <c r="B10" s="24" t="s">
        <v>77</v>
      </c>
      <c r="C10" s="68">
        <f>457600</f>
        <v>457600</v>
      </c>
      <c r="D10" s="68">
        <f>16213.75+431210+14000+549+2380+21900+5000+2444</f>
        <v>493696.75</v>
      </c>
      <c r="E10" s="23">
        <f aca="true" t="shared" si="0" ref="E10:E17">D10-C10</f>
        <v>36096.75</v>
      </c>
    </row>
    <row r="11" spans="1:5" ht="23.25">
      <c r="A11" s="27"/>
      <c r="B11" s="24" t="s">
        <v>12</v>
      </c>
      <c r="C11" s="68">
        <v>200000</v>
      </c>
      <c r="D11" s="68">
        <f>291252.07</f>
        <v>291252.07</v>
      </c>
      <c r="E11" s="23">
        <f t="shared" si="0"/>
        <v>91252.07</v>
      </c>
    </row>
    <row r="12" spans="1:5" ht="23.25">
      <c r="A12" s="27"/>
      <c r="B12" s="24" t="s">
        <v>13</v>
      </c>
      <c r="C12" s="68"/>
      <c r="D12" s="68"/>
      <c r="E12" s="23">
        <f t="shared" si="0"/>
        <v>0</v>
      </c>
    </row>
    <row r="13" spans="1:5" ht="23.25">
      <c r="A13" s="27"/>
      <c r="B13" s="24" t="s">
        <v>14</v>
      </c>
      <c r="C13" s="68">
        <v>231000</v>
      </c>
      <c r="D13" s="68">
        <f>227300+485+1995.1</f>
        <v>229780.1</v>
      </c>
      <c r="E13" s="23">
        <f t="shared" si="0"/>
        <v>-1219.8999999999942</v>
      </c>
    </row>
    <row r="14" spans="1:5" ht="23.25">
      <c r="A14" s="27"/>
      <c r="B14" s="24" t="s">
        <v>15</v>
      </c>
      <c r="C14" s="68"/>
      <c r="D14" s="68"/>
      <c r="E14" s="23">
        <f t="shared" si="0"/>
        <v>0</v>
      </c>
    </row>
    <row r="15" spans="1:7" ht="23.25">
      <c r="A15" s="27"/>
      <c r="B15" s="24" t="s">
        <v>16</v>
      </c>
      <c r="C15" s="68">
        <f>50000+4800000+4500000+135000+2000000+4500000+2000+50000+85000+6500000+3000</f>
        <v>22625000</v>
      </c>
      <c r="D15" s="68">
        <f>5170080.84+4038722.53+48814.84+2158310.02+4236182.64+98947.64+143866.19+6233707+2100</f>
        <v>22130731.699999996</v>
      </c>
      <c r="E15" s="23">
        <f t="shared" si="0"/>
        <v>-494268.30000000447</v>
      </c>
      <c r="G15" s="109"/>
    </row>
    <row r="16" spans="1:5" ht="23.25">
      <c r="A16" s="27"/>
      <c r="B16" s="24" t="s">
        <v>17</v>
      </c>
      <c r="C16" s="68">
        <v>13500000</v>
      </c>
      <c r="D16" s="68">
        <f>12621242.06</f>
        <v>12621242.06</v>
      </c>
      <c r="E16" s="218">
        <f t="shared" si="0"/>
        <v>-878757.9399999995</v>
      </c>
    </row>
    <row r="17" spans="1:7" ht="23.25">
      <c r="A17" s="24" t="s">
        <v>78</v>
      </c>
      <c r="B17" s="25"/>
      <c r="C17" s="28">
        <f>SUM(C9:C16)</f>
        <v>38018600</v>
      </c>
      <c r="D17" s="28">
        <f>SUM(D9:D16)</f>
        <v>36876621.63999999</v>
      </c>
      <c r="E17" s="29">
        <f t="shared" si="0"/>
        <v>-1141978.3600000069</v>
      </c>
      <c r="G17" s="109"/>
    </row>
    <row r="18" spans="1:5" ht="23.25">
      <c r="A18" s="27"/>
      <c r="B18" s="27" t="s">
        <v>79</v>
      </c>
      <c r="D18" s="28">
        <f>3588000+1092500+195720+110400+25000</f>
        <v>5011620</v>
      </c>
      <c r="E18" s="12"/>
    </row>
    <row r="19" spans="1:5" ht="23.25">
      <c r="A19" s="27" t="s">
        <v>80</v>
      </c>
      <c r="B19" s="27"/>
      <c r="D19" s="28">
        <f>D18</f>
        <v>5011620</v>
      </c>
      <c r="E19" s="12"/>
    </row>
    <row r="20" spans="1:7" ht="24" thickBot="1">
      <c r="A20" s="27"/>
      <c r="B20" s="30" t="s">
        <v>81</v>
      </c>
      <c r="D20" s="31">
        <f>D17+D19</f>
        <v>41888241.63999999</v>
      </c>
      <c r="E20" s="12"/>
      <c r="G20" s="109"/>
    </row>
    <row r="21" spans="1:7" ht="24" thickTop="1">
      <c r="A21" s="27"/>
      <c r="B21" s="30"/>
      <c r="D21" s="188"/>
      <c r="E21" s="12"/>
      <c r="G21" s="109"/>
    </row>
    <row r="22" spans="1:7" ht="23.25">
      <c r="A22" s="27"/>
      <c r="B22" s="30"/>
      <c r="D22" s="188"/>
      <c r="E22" s="12"/>
      <c r="G22" s="109"/>
    </row>
    <row r="23" spans="1:2" ht="23.25">
      <c r="A23" s="27"/>
      <c r="B23" s="27"/>
    </row>
    <row r="24" spans="1:5" ht="23.25">
      <c r="A24" s="392" t="s">
        <v>5</v>
      </c>
      <c r="B24" s="393"/>
      <c r="C24" s="393" t="s">
        <v>2</v>
      </c>
      <c r="D24" s="393" t="s">
        <v>88</v>
      </c>
      <c r="E24" s="18" t="s">
        <v>82</v>
      </c>
    </row>
    <row r="25" spans="1:5" ht="23.25">
      <c r="A25" s="394"/>
      <c r="B25" s="395"/>
      <c r="C25" s="395"/>
      <c r="D25" s="395"/>
      <c r="E25" s="17" t="s">
        <v>83</v>
      </c>
    </row>
    <row r="26" spans="1:5" ht="23.25">
      <c r="A26" s="33" t="s">
        <v>85</v>
      </c>
      <c r="B26" s="32"/>
      <c r="C26" s="19"/>
      <c r="D26" s="19"/>
      <c r="E26" s="19"/>
    </row>
    <row r="27" spans="1:7" ht="23.25">
      <c r="A27" s="27"/>
      <c r="B27" s="24" t="s">
        <v>29</v>
      </c>
      <c r="C27" s="22">
        <v>3364000</v>
      </c>
      <c r="D27" s="22">
        <f>63220+288210+700000+321636+543272+37000+20978+127233.6+187629.6</f>
        <v>2289179.2</v>
      </c>
      <c r="E27" s="23">
        <f>C27-D27</f>
        <v>1074820.7999999998</v>
      </c>
      <c r="G27" s="48"/>
    </row>
    <row r="28" spans="1:7" ht="23.25">
      <c r="A28" s="27"/>
      <c r="B28" s="24" t="s">
        <v>69</v>
      </c>
      <c r="C28" s="22">
        <v>4781715.81</v>
      </c>
      <c r="D28" s="22">
        <f>351855.1+343908+343768+365767+359367+358527+368501.83+354770+354770+354770+355730+355010</f>
        <v>4266743.93</v>
      </c>
      <c r="E28" s="23">
        <f aca="true" t="shared" si="1" ref="E28:E37">C28-D28</f>
        <v>514971.8799999999</v>
      </c>
      <c r="G28" s="48"/>
    </row>
    <row r="29" spans="1:7" ht="23.25">
      <c r="A29" s="27"/>
      <c r="B29" s="24" t="s">
        <v>67</v>
      </c>
      <c r="C29" s="22">
        <v>3009000</v>
      </c>
      <c r="D29" s="22">
        <f>208540+208540+214620+218100+216360+216360+216360+216360+209780+209780+209780+209780</f>
        <v>2554360</v>
      </c>
      <c r="E29" s="23">
        <f t="shared" si="1"/>
        <v>454640</v>
      </c>
      <c r="G29" s="48"/>
    </row>
    <row r="30" spans="1:7" ht="23.25">
      <c r="A30" s="27"/>
      <c r="B30" s="24" t="s">
        <v>31</v>
      </c>
      <c r="C30" s="22">
        <v>3086403.19</v>
      </c>
      <c r="D30" s="22">
        <f>340690.19+182663+335161+187285+163413+194901+197754+184001+197821+175638+206128+219507</f>
        <v>2584962.19</v>
      </c>
      <c r="E30" s="23">
        <f t="shared" si="1"/>
        <v>501441</v>
      </c>
      <c r="G30" s="48"/>
    </row>
    <row r="31" spans="1:7" ht="23.25">
      <c r="A31" s="27"/>
      <c r="B31" s="24" t="s">
        <v>32</v>
      </c>
      <c r="C31" s="22">
        <v>10748720.71</v>
      </c>
      <c r="D31" s="22">
        <f>30672+189124.55+184130+262734+424276.17+1045646+1162102.5+605580+575864+678044+1581392+1429088.4</f>
        <v>8168653.619999999</v>
      </c>
      <c r="E31" s="23">
        <f t="shared" si="1"/>
        <v>2580067.0900000017</v>
      </c>
      <c r="G31" s="48"/>
    </row>
    <row r="32" spans="1:7" ht="23.25">
      <c r="A32" s="27"/>
      <c r="B32" s="24" t="s">
        <v>33</v>
      </c>
      <c r="C32" s="22">
        <v>4277910.29</v>
      </c>
      <c r="D32" s="22">
        <f>11120+146787.2+55313.6+163564.42+245871.42+194180.13+160563.25+189735.13+193215.4+557619.61+159683.62+787500.34</f>
        <v>2865154.1199999996</v>
      </c>
      <c r="E32" s="23">
        <f t="shared" si="1"/>
        <v>1412756.1700000004</v>
      </c>
      <c r="G32" s="48"/>
    </row>
    <row r="33" spans="1:7" ht="23.25">
      <c r="A33" s="27"/>
      <c r="B33" s="63" t="s">
        <v>40</v>
      </c>
      <c r="C33" s="220">
        <f>SUM(C27:C32)</f>
        <v>29267750</v>
      </c>
      <c r="D33" s="220">
        <f>SUM(D27:D32)</f>
        <v>22729053.06</v>
      </c>
      <c r="E33" s="218">
        <f t="shared" si="1"/>
        <v>6538696.940000001</v>
      </c>
      <c r="G33" s="48"/>
    </row>
    <row r="34" spans="1:7" ht="23.25">
      <c r="A34" s="392" t="s">
        <v>5</v>
      </c>
      <c r="B34" s="393"/>
      <c r="C34" s="393" t="s">
        <v>2</v>
      </c>
      <c r="D34" s="393" t="s">
        <v>88</v>
      </c>
      <c r="E34" s="18" t="s">
        <v>82</v>
      </c>
      <c r="G34" s="48"/>
    </row>
    <row r="35" spans="1:7" ht="23.25">
      <c r="A35" s="394"/>
      <c r="B35" s="395"/>
      <c r="C35" s="395"/>
      <c r="D35" s="395"/>
      <c r="E35" s="17" t="s">
        <v>83</v>
      </c>
      <c r="G35" s="27"/>
    </row>
    <row r="36" spans="1:7" ht="23.25">
      <c r="A36" s="27"/>
      <c r="B36" s="63" t="s">
        <v>9</v>
      </c>
      <c r="C36" s="22">
        <f>C33</f>
        <v>29267750</v>
      </c>
      <c r="D36" s="119">
        <f>D33</f>
        <v>22729053.06</v>
      </c>
      <c r="E36" s="219">
        <f t="shared" si="1"/>
        <v>6538696.940000001</v>
      </c>
      <c r="G36" s="195"/>
    </row>
    <row r="37" spans="1:7" ht="23.25">
      <c r="A37" s="27"/>
      <c r="B37" s="24" t="s">
        <v>34</v>
      </c>
      <c r="C37" s="22">
        <v>433000</v>
      </c>
      <c r="D37" s="22">
        <f>7980.85+16068.85+15220.48+9912.87+25121.39+2538.6+22248.06+26303.18+16259+26373.66+46083.72+4457.62</f>
        <v>218568.28</v>
      </c>
      <c r="E37" s="23">
        <f t="shared" si="1"/>
        <v>214431.72</v>
      </c>
      <c r="G37" s="27"/>
    </row>
    <row r="38" spans="1:7" ht="23.25">
      <c r="A38" s="27"/>
      <c r="B38" s="24" t="s">
        <v>17</v>
      </c>
      <c r="C38" s="22">
        <v>2226994.79</v>
      </c>
      <c r="D38" s="22">
        <f>738200+254400+369645.28+20000+298749.51</f>
        <v>1680994.79</v>
      </c>
      <c r="E38" s="23">
        <f>C38-D38</f>
        <v>546000</v>
      </c>
      <c r="G38" s="195"/>
    </row>
    <row r="39" spans="1:7" ht="23.25">
      <c r="A39" s="27"/>
      <c r="B39" s="24" t="s">
        <v>35</v>
      </c>
      <c r="C39" s="22">
        <v>241500</v>
      </c>
      <c r="D39" s="22">
        <f>115200+6000+29960</f>
        <v>151160</v>
      </c>
      <c r="E39" s="23">
        <f>C39-D39</f>
        <v>90340</v>
      </c>
      <c r="G39" s="195"/>
    </row>
    <row r="40" spans="1:5" ht="23.25">
      <c r="A40" s="27"/>
      <c r="B40" s="24" t="s">
        <v>36</v>
      </c>
      <c r="C40" s="22">
        <v>5800805.21</v>
      </c>
      <c r="D40" s="22">
        <f>307425+731223+4102876</f>
        <v>5141524</v>
      </c>
      <c r="E40" s="23">
        <f>C40-D40</f>
        <v>659281.21</v>
      </c>
    </row>
    <row r="41" spans="1:7" ht="23.25">
      <c r="A41" s="396" t="s">
        <v>86</v>
      </c>
      <c r="B41" s="397"/>
      <c r="C41" s="28">
        <f>SUM(C36:C40)</f>
        <v>37970050</v>
      </c>
      <c r="D41" s="35">
        <f>SUM(D36:D40)</f>
        <v>29921300.13</v>
      </c>
      <c r="E41" s="29">
        <f>SUM(E36:E40)</f>
        <v>8048749.870000001</v>
      </c>
      <c r="G41" s="109"/>
    </row>
    <row r="42" spans="1:7" ht="23.25">
      <c r="A42" s="398" t="s">
        <v>683</v>
      </c>
      <c r="B42" s="398"/>
      <c r="C42" s="48"/>
      <c r="D42" s="318"/>
      <c r="E42" s="319"/>
      <c r="G42" s="109"/>
    </row>
    <row r="43" spans="1:7" ht="23.25">
      <c r="A43" s="30"/>
      <c r="B43" s="27" t="s">
        <v>79</v>
      </c>
      <c r="C43" s="48"/>
      <c r="D43" s="318">
        <f>3458000+1423620</f>
        <v>4881620</v>
      </c>
      <c r="E43" s="319"/>
      <c r="G43" s="109"/>
    </row>
    <row r="44" spans="1:7" ht="23.25">
      <c r="A44" s="30"/>
      <c r="B44" s="30" t="s">
        <v>94</v>
      </c>
      <c r="C44" s="48"/>
      <c r="D44" s="318">
        <f>SUM(D41:D43)</f>
        <v>34802920.129999995</v>
      </c>
      <c r="E44" s="319"/>
      <c r="G44" s="109"/>
    </row>
    <row r="45" spans="2:7" ht="23.25">
      <c r="B45" s="40" t="s">
        <v>38</v>
      </c>
      <c r="C45" s="12"/>
      <c r="D45" s="34"/>
      <c r="E45" s="12"/>
      <c r="G45" s="109"/>
    </row>
    <row r="46" spans="2:5" ht="23.25">
      <c r="B46" s="40" t="s">
        <v>89</v>
      </c>
      <c r="C46" s="12"/>
      <c r="D46" s="36">
        <f>D20-D44</f>
        <v>7085321.509999998</v>
      </c>
      <c r="E46" s="12"/>
    </row>
    <row r="47" spans="2:5" ht="23.25">
      <c r="B47" s="5" t="s">
        <v>39</v>
      </c>
      <c r="C47" s="12"/>
      <c r="D47" s="10"/>
      <c r="E47" s="12"/>
    </row>
    <row r="48" spans="2:5" ht="23.25">
      <c r="B48" s="5"/>
      <c r="C48" s="12"/>
      <c r="D48" s="48"/>
      <c r="E48" s="12"/>
    </row>
    <row r="49" spans="2:5" ht="23.25">
      <c r="B49" s="5"/>
      <c r="C49" s="12"/>
      <c r="D49" s="48"/>
      <c r="E49" s="12"/>
    </row>
    <row r="50" spans="1:5" ht="23.25">
      <c r="A50" s="359" t="s">
        <v>367</v>
      </c>
      <c r="B50" s="359"/>
      <c r="C50" s="359"/>
      <c r="D50" s="359"/>
      <c r="E50" s="359"/>
    </row>
    <row r="51" spans="1:5" ht="23.25">
      <c r="A51" s="359" t="s">
        <v>560</v>
      </c>
      <c r="B51" s="359"/>
      <c r="C51" s="359"/>
      <c r="D51" s="359"/>
      <c r="E51" s="359"/>
    </row>
    <row r="52" spans="1:5" ht="23.25">
      <c r="A52" s="370" t="s">
        <v>561</v>
      </c>
      <c r="B52" s="370"/>
      <c r="C52" s="370"/>
      <c r="D52" s="370"/>
      <c r="E52" s="370"/>
    </row>
    <row r="53" spans="1:7" ht="23.25">
      <c r="A53" s="370" t="s">
        <v>562</v>
      </c>
      <c r="B53" s="370"/>
      <c r="C53" s="370"/>
      <c r="D53" s="370"/>
      <c r="E53" s="370"/>
      <c r="F53" s="199"/>
      <c r="G53" s="199"/>
    </row>
    <row r="54" spans="1:7" ht="23.25">
      <c r="A54" s="5"/>
      <c r="B54" s="5"/>
      <c r="C54" s="5"/>
      <c r="D54" s="5"/>
      <c r="E54" s="5"/>
      <c r="F54" s="199"/>
      <c r="G54" s="199"/>
    </row>
    <row r="55" spans="1:7" ht="23.25">
      <c r="A55" s="5"/>
      <c r="B55" s="5"/>
      <c r="C55" s="5"/>
      <c r="D55" s="5"/>
      <c r="E55" s="5"/>
      <c r="F55" s="199"/>
      <c r="G55" s="199"/>
    </row>
    <row r="56" spans="1:7" ht="23.25">
      <c r="A56" s="370" t="s">
        <v>470</v>
      </c>
      <c r="B56" s="370"/>
      <c r="C56" s="370"/>
      <c r="D56" s="370"/>
      <c r="E56" s="370"/>
      <c r="F56" s="39"/>
      <c r="G56" s="39"/>
    </row>
    <row r="57" spans="1:7" ht="23.25">
      <c r="A57" s="370" t="s">
        <v>336</v>
      </c>
      <c r="B57" s="370"/>
      <c r="C57" s="370"/>
      <c r="D57" s="370"/>
      <c r="E57" s="370"/>
      <c r="F57" s="199"/>
      <c r="G57" s="199"/>
    </row>
    <row r="58" spans="1:7" ht="23.25">
      <c r="A58" s="370" t="s">
        <v>563</v>
      </c>
      <c r="B58" s="370"/>
      <c r="C58" s="370"/>
      <c r="D58" s="370"/>
      <c r="E58" s="370"/>
      <c r="F58" s="199"/>
      <c r="G58" s="199"/>
    </row>
    <row r="59" spans="3:7" ht="23.25">
      <c r="C59" s="12"/>
      <c r="D59" s="12"/>
      <c r="E59" s="199"/>
      <c r="F59" s="199"/>
      <c r="G59" s="199"/>
    </row>
    <row r="60" spans="1:7" ht="23.25">
      <c r="A60" s="370"/>
      <c r="B60" s="370"/>
      <c r="C60" s="370"/>
      <c r="D60" s="370"/>
      <c r="E60" s="5"/>
      <c r="F60" s="199"/>
      <c r="G60" s="199"/>
    </row>
    <row r="61" spans="1:7" ht="23.25">
      <c r="A61" s="370" t="s">
        <v>564</v>
      </c>
      <c r="B61" s="370"/>
      <c r="C61" s="370"/>
      <c r="D61" s="370"/>
      <c r="E61" s="370"/>
      <c r="F61" s="5"/>
      <c r="G61" s="5"/>
    </row>
    <row r="62" spans="1:7" ht="23.25">
      <c r="A62" s="370" t="s">
        <v>565</v>
      </c>
      <c r="B62" s="370"/>
      <c r="C62" s="370"/>
      <c r="D62" s="370"/>
      <c r="E62" s="370"/>
      <c r="F62" s="199"/>
      <c r="G62" s="199"/>
    </row>
    <row r="63" spans="1:7" ht="23.25">
      <c r="A63" s="370" t="s">
        <v>293</v>
      </c>
      <c r="B63" s="370"/>
      <c r="C63" s="370"/>
      <c r="D63" s="370"/>
      <c r="E63" s="370"/>
      <c r="F63" s="199"/>
      <c r="G63" s="199"/>
    </row>
    <row r="64" spans="3:7" ht="23.25">
      <c r="C64" s="12"/>
      <c r="D64" s="12"/>
      <c r="E64" s="5"/>
      <c r="F64" s="5"/>
      <c r="G64" s="5"/>
    </row>
    <row r="65" spans="3:7" ht="23.25">
      <c r="C65" s="12"/>
      <c r="D65" s="12"/>
      <c r="E65" s="199"/>
      <c r="F65" s="199"/>
      <c r="G65" s="199"/>
    </row>
    <row r="66" spans="1:7" ht="23.25">
      <c r="A66" s="199"/>
      <c r="B66" s="199"/>
      <c r="C66" s="199"/>
      <c r="D66" s="199"/>
      <c r="E66" s="199"/>
      <c r="F66" s="199"/>
      <c r="G66" s="199"/>
    </row>
    <row r="67" spans="1:7" ht="23.25">
      <c r="A67" s="199"/>
      <c r="B67" s="199"/>
      <c r="C67" s="199"/>
      <c r="D67" s="199"/>
      <c r="E67" s="199"/>
      <c r="F67" s="199"/>
      <c r="G67" s="199"/>
    </row>
    <row r="68" spans="1:7" ht="23.25">
      <c r="A68" s="199"/>
      <c r="B68" s="199"/>
      <c r="C68" s="199"/>
      <c r="D68" s="199"/>
      <c r="E68" s="199"/>
      <c r="F68" s="199"/>
      <c r="G68" s="199"/>
    </row>
    <row r="69" spans="1:7" ht="23.25">
      <c r="A69" s="199"/>
      <c r="B69" s="199"/>
      <c r="C69" s="199"/>
      <c r="D69" s="199"/>
      <c r="E69" s="199"/>
      <c r="F69" s="199"/>
      <c r="G69" s="199"/>
    </row>
    <row r="70" spans="1:7" ht="23.25">
      <c r="A70" s="199"/>
      <c r="B70" s="199"/>
      <c r="C70" s="199"/>
      <c r="D70" s="199"/>
      <c r="E70" s="199"/>
      <c r="F70" s="199"/>
      <c r="G70" s="199"/>
    </row>
  </sheetData>
  <mergeCells count="25">
    <mergeCell ref="A50:E50"/>
    <mergeCell ref="A51:E51"/>
    <mergeCell ref="A52:E52"/>
    <mergeCell ref="C34:C35"/>
    <mergeCell ref="D34:D35"/>
    <mergeCell ref="A42:B42"/>
    <mergeCell ref="D24:D25"/>
    <mergeCell ref="A41:B41"/>
    <mergeCell ref="A24:B25"/>
    <mergeCell ref="C24:C25"/>
    <mergeCell ref="A34:B35"/>
    <mergeCell ref="A61:E61"/>
    <mergeCell ref="A60:D60"/>
    <mergeCell ref="A62:E62"/>
    <mergeCell ref="A63:E63"/>
    <mergeCell ref="A1:E1"/>
    <mergeCell ref="A2:E2"/>
    <mergeCell ref="A3:E3"/>
    <mergeCell ref="A5:B6"/>
    <mergeCell ref="C5:C6"/>
    <mergeCell ref="D5:D6"/>
    <mergeCell ref="A53:E53"/>
    <mergeCell ref="A58:E58"/>
    <mergeCell ref="A56:E56"/>
    <mergeCell ref="A57:E57"/>
  </mergeCells>
  <printOptions/>
  <pageMargins left="0.71" right="0.26" top="0.84" bottom="0.77" header="0.5" footer="0.46"/>
  <pageSetup horizontalDpi="300" verticalDpi="300" orientation="portrait" paperSize="9" r:id="rId1"/>
  <headerFooter alignWithMargins="0">
    <oddHeader>&amp;Rหน้าที่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E15" sqref="E15"/>
    </sheetView>
  </sheetViews>
  <sheetFormatPr defaultColWidth="9.140625" defaultRowHeight="21.75"/>
  <cols>
    <col min="1" max="1" width="9.8515625" style="1" customWidth="1"/>
    <col min="2" max="2" width="48.00390625" style="12" customWidth="1"/>
    <col min="3" max="3" width="14.00390625" style="1" customWidth="1"/>
    <col min="4" max="4" width="23.57421875" style="1" customWidth="1"/>
    <col min="5" max="5" width="17.140625" style="1" customWidth="1"/>
    <col min="6" max="6" width="14.28125" style="12" customWidth="1"/>
    <col min="7" max="16384" width="9.140625" style="1" customWidth="1"/>
  </cols>
  <sheetData>
    <row r="1" spans="1:6" ht="26.25">
      <c r="A1" s="361" t="s">
        <v>0</v>
      </c>
      <c r="B1" s="361"/>
      <c r="C1" s="361"/>
      <c r="D1" s="361"/>
      <c r="E1" s="107"/>
      <c r="F1" s="107"/>
    </row>
    <row r="2" spans="1:6" ht="26.25">
      <c r="A2" s="361" t="s">
        <v>101</v>
      </c>
      <c r="B2" s="361"/>
      <c r="C2" s="361"/>
      <c r="D2" s="361"/>
      <c r="E2" s="107"/>
      <c r="F2" s="107"/>
    </row>
    <row r="3" spans="1:6" ht="26.25">
      <c r="A3" s="361" t="s">
        <v>598</v>
      </c>
      <c r="B3" s="361"/>
      <c r="C3" s="361"/>
      <c r="D3" s="361"/>
      <c r="E3" s="107"/>
      <c r="F3" s="107"/>
    </row>
    <row r="4" spans="1:6" ht="23.25">
      <c r="A4" s="364" t="s">
        <v>102</v>
      </c>
      <c r="B4" s="364"/>
      <c r="C4" s="364"/>
      <c r="D4" s="364"/>
      <c r="E4" s="30"/>
      <c r="F4" s="30"/>
    </row>
    <row r="5" spans="1:4" ht="25.5">
      <c r="A5" s="1" t="s">
        <v>284</v>
      </c>
      <c r="C5" s="12"/>
      <c r="D5" s="106">
        <v>100266813.08</v>
      </c>
    </row>
    <row r="6" spans="1:4" ht="23.25">
      <c r="A6" s="1" t="s">
        <v>103</v>
      </c>
      <c r="C6" s="12"/>
      <c r="D6" s="115">
        <v>0</v>
      </c>
    </row>
    <row r="7" spans="1:4" ht="23.25">
      <c r="A7" s="1" t="s">
        <v>285</v>
      </c>
      <c r="C7" s="12"/>
      <c r="D7" s="12">
        <f>หมายเหตุ1!C14</f>
        <v>27312174.32</v>
      </c>
    </row>
    <row r="8" spans="1:4" ht="23.25">
      <c r="A8" s="1" t="s">
        <v>286</v>
      </c>
      <c r="C8" s="12"/>
      <c r="D8" s="12">
        <v>2923.92</v>
      </c>
    </row>
    <row r="9" spans="1:4" ht="23.25">
      <c r="A9" s="1" t="s">
        <v>287</v>
      </c>
      <c r="C9" s="12"/>
      <c r="D9" s="12">
        <f>หมายเหตุ3!G22</f>
        <v>718600</v>
      </c>
    </row>
    <row r="10" spans="1:4" ht="25.5">
      <c r="A10" s="1" t="s">
        <v>296</v>
      </c>
      <c r="C10" s="12"/>
      <c r="D10" s="221" t="s">
        <v>520</v>
      </c>
    </row>
    <row r="11" spans="2:4" ht="25.5">
      <c r="B11" s="108" t="s">
        <v>107</v>
      </c>
      <c r="C11" s="12"/>
      <c r="D11" s="106">
        <f>SUM(D6:D10)</f>
        <v>28033698.240000002</v>
      </c>
    </row>
    <row r="12" spans="1:4" ht="23.25">
      <c r="A12" s="399" t="s">
        <v>105</v>
      </c>
      <c r="B12" s="399"/>
      <c r="C12" s="399"/>
      <c r="D12" s="399"/>
    </row>
    <row r="13" spans="1:4" ht="25.5">
      <c r="A13" s="1" t="s">
        <v>272</v>
      </c>
      <c r="C13" s="12"/>
      <c r="D13" s="106">
        <f>D5</f>
        <v>100266813.08</v>
      </c>
    </row>
    <row r="14" spans="1:4" ht="23.25">
      <c r="A14" s="1" t="s">
        <v>521</v>
      </c>
      <c r="C14" s="12"/>
      <c r="D14" s="12">
        <v>0</v>
      </c>
    </row>
    <row r="15" spans="1:6" ht="23.25">
      <c r="A15" s="1" t="s">
        <v>523</v>
      </c>
      <c r="C15" s="12"/>
      <c r="D15" s="12">
        <v>2923.92</v>
      </c>
      <c r="F15" s="184"/>
    </row>
    <row r="16" spans="1:4" ht="23.25">
      <c r="A16" s="1" t="s">
        <v>288</v>
      </c>
      <c r="C16" s="12"/>
      <c r="D16" s="12">
        <f>หมายเหตุ4!C17</f>
        <v>2738146.2</v>
      </c>
    </row>
    <row r="17" spans="1:4" ht="23.25">
      <c r="A17" s="1" t="s">
        <v>273</v>
      </c>
      <c r="C17" s="12"/>
      <c r="D17" s="12">
        <f>งบทดลองหลัง!D22</f>
        <v>1120993.76</v>
      </c>
    </row>
    <row r="18" spans="1:4" ht="23.25">
      <c r="A18" s="1" t="s">
        <v>289</v>
      </c>
      <c r="C18" s="12"/>
      <c r="D18" s="12">
        <f>หมายเหตุ5!C15</f>
        <v>950595.6799999999</v>
      </c>
    </row>
    <row r="19" spans="1:4" ht="23.25">
      <c r="A19" s="1" t="s">
        <v>297</v>
      </c>
      <c r="C19" s="12"/>
      <c r="D19" s="12">
        <f>งบทดลอง!D31+หมายเหตุ8!D16</f>
        <v>11382762.3075</v>
      </c>
    </row>
    <row r="20" spans="1:4" ht="25.5">
      <c r="A20" s="1" t="s">
        <v>290</v>
      </c>
      <c r="C20" s="12"/>
      <c r="D20" s="59">
        <f>หมายเหตุ8!F18</f>
        <v>11838276.3725</v>
      </c>
    </row>
    <row r="21" spans="2:4" ht="25.5">
      <c r="B21" s="111" t="s">
        <v>106</v>
      </c>
      <c r="D21" s="110">
        <f>SUM(D15:D20)</f>
        <v>28033698.240000002</v>
      </c>
    </row>
    <row r="22" ht="23.25">
      <c r="D22" s="192"/>
    </row>
    <row r="24" spans="1:4" ht="23.25">
      <c r="A24" s="199"/>
      <c r="B24" s="251"/>
      <c r="C24" s="199"/>
      <c r="D24" s="199"/>
    </row>
    <row r="25" spans="1:4" ht="23.25">
      <c r="A25" s="5"/>
      <c r="B25" s="5"/>
      <c r="C25" s="5"/>
      <c r="D25" s="5"/>
    </row>
    <row r="26" spans="1:4" ht="23.25">
      <c r="A26" s="5"/>
      <c r="B26" s="5"/>
      <c r="C26" s="5"/>
      <c r="D26" s="5"/>
    </row>
    <row r="27" spans="1:4" ht="23.25">
      <c r="A27" s="5"/>
      <c r="B27" s="5"/>
      <c r="C27" s="5"/>
      <c r="D27" s="5"/>
    </row>
    <row r="28" spans="1:4" ht="23.25">
      <c r="A28" s="5"/>
      <c r="B28" s="5"/>
      <c r="C28" s="5"/>
      <c r="D28" s="5"/>
    </row>
    <row r="29" spans="1:4" ht="23.25">
      <c r="A29" s="5"/>
      <c r="B29" s="5"/>
      <c r="C29" s="5"/>
      <c r="D29" s="5"/>
    </row>
    <row r="30" spans="1:4" ht="23.25">
      <c r="A30" s="5"/>
      <c r="B30" s="5"/>
      <c r="C30" s="5"/>
      <c r="D30" s="5"/>
    </row>
    <row r="31" spans="1:4" ht="23.25">
      <c r="A31" s="5"/>
      <c r="B31" s="5"/>
      <c r="C31" s="5"/>
      <c r="D31" s="5"/>
    </row>
  </sheetData>
  <mergeCells count="5">
    <mergeCell ref="A12:D12"/>
    <mergeCell ref="A1:D1"/>
    <mergeCell ref="A2:D2"/>
    <mergeCell ref="A3:D3"/>
    <mergeCell ref="A4:D4"/>
  </mergeCells>
  <printOptions/>
  <pageMargins left="0.8661417322834646" right="0.2362204724409449" top="0.53" bottom="0.11811023622047245" header="0.35433070866141736" footer="0.4724409448818898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B1">
      <selection activeCell="G39" sqref="G39"/>
    </sheetView>
  </sheetViews>
  <sheetFormatPr defaultColWidth="9.140625" defaultRowHeight="21.75"/>
  <cols>
    <col min="1" max="1" width="3.7109375" style="1" customWidth="1"/>
    <col min="2" max="2" width="34.140625" style="12" customWidth="1"/>
    <col min="3" max="4" width="15.7109375" style="12" customWidth="1"/>
    <col min="5" max="5" width="13.7109375" style="12" customWidth="1"/>
    <col min="6" max="6" width="15.7109375" style="12" customWidth="1"/>
    <col min="7" max="7" width="34.00390625" style="12" customWidth="1"/>
    <col min="8" max="8" width="15.7109375" style="12" customWidth="1"/>
    <col min="9" max="16384" width="9.140625" style="1" customWidth="1"/>
  </cols>
  <sheetData>
    <row r="1" spans="1:8" ht="23.25">
      <c r="A1" s="400" t="s">
        <v>0</v>
      </c>
      <c r="B1" s="400"/>
      <c r="C1" s="400"/>
      <c r="D1" s="400"/>
      <c r="E1" s="400"/>
      <c r="F1" s="400"/>
      <c r="G1" s="400"/>
      <c r="H1" s="400"/>
    </row>
    <row r="2" spans="1:8" ht="23.25">
      <c r="A2" s="400" t="s">
        <v>238</v>
      </c>
      <c r="B2" s="400"/>
      <c r="C2" s="400"/>
      <c r="D2" s="400"/>
      <c r="E2" s="400"/>
      <c r="F2" s="400"/>
      <c r="G2" s="400"/>
      <c r="H2" s="400"/>
    </row>
    <row r="3" spans="1:8" ht="23.25">
      <c r="A3" s="400" t="s">
        <v>598</v>
      </c>
      <c r="B3" s="400"/>
      <c r="C3" s="400"/>
      <c r="D3" s="400"/>
      <c r="E3" s="400"/>
      <c r="F3" s="400"/>
      <c r="G3" s="400"/>
      <c r="H3" s="400"/>
    </row>
    <row r="5" spans="1:8" s="5" customFormat="1" ht="23.25">
      <c r="A5" s="401" t="s">
        <v>108</v>
      </c>
      <c r="B5" s="401"/>
      <c r="C5" s="52" t="s">
        <v>109</v>
      </c>
      <c r="D5" s="52" t="s">
        <v>111</v>
      </c>
      <c r="E5" s="52" t="s">
        <v>113</v>
      </c>
      <c r="F5" s="52" t="s">
        <v>114</v>
      </c>
      <c r="G5" s="401" t="s">
        <v>116</v>
      </c>
      <c r="H5" s="401" t="s">
        <v>117</v>
      </c>
    </row>
    <row r="6" spans="1:8" s="5" customFormat="1" ht="23.25">
      <c r="A6" s="402"/>
      <c r="B6" s="402"/>
      <c r="C6" s="53" t="s">
        <v>110</v>
      </c>
      <c r="D6" s="53" t="s">
        <v>112</v>
      </c>
      <c r="E6" s="53" t="s">
        <v>112</v>
      </c>
      <c r="F6" s="53" t="s">
        <v>115</v>
      </c>
      <c r="G6" s="402"/>
      <c r="H6" s="402"/>
    </row>
    <row r="7" spans="1:8" ht="23.25">
      <c r="A7" s="44" t="s">
        <v>121</v>
      </c>
      <c r="B7" s="45"/>
      <c r="C7" s="34"/>
      <c r="D7" s="34"/>
      <c r="E7" s="34"/>
      <c r="F7" s="34"/>
      <c r="G7" s="34" t="s">
        <v>124</v>
      </c>
      <c r="H7" s="34">
        <f>40260097.08+12609149+3687824+102460+48700</f>
        <v>56708230.08</v>
      </c>
    </row>
    <row r="8" spans="1:8" ht="23.25">
      <c r="A8" s="46"/>
      <c r="B8" s="54" t="s">
        <v>118</v>
      </c>
      <c r="C8" s="9"/>
      <c r="D8" s="9"/>
      <c r="E8" s="9"/>
      <c r="F8" s="9"/>
      <c r="G8" s="9" t="s">
        <v>125</v>
      </c>
      <c r="H8" s="9">
        <f>4553469+1092500+25000</f>
        <v>5670969</v>
      </c>
    </row>
    <row r="9" spans="1:8" ht="23.25">
      <c r="A9" s="46"/>
      <c r="B9" s="54" t="s">
        <v>119</v>
      </c>
      <c r="C9" s="9">
        <f>15674194+75000</f>
        <v>15749194</v>
      </c>
      <c r="D9" s="9"/>
      <c r="E9" s="9"/>
      <c r="F9" s="9">
        <f>C9+D9</f>
        <v>15749194</v>
      </c>
      <c r="G9" s="9" t="s">
        <v>126</v>
      </c>
      <c r="H9" s="9">
        <v>680906</v>
      </c>
    </row>
    <row r="10" spans="1:8" ht="23.25">
      <c r="A10" s="46"/>
      <c r="B10" s="54" t="s">
        <v>123</v>
      </c>
      <c r="C10" s="9">
        <f>27213565.39+9993748+14958314</f>
        <v>52165627.39</v>
      </c>
      <c r="D10" s="9">
        <f>999423+91000+1033577+2277000+878500+2809324+1092500</f>
        <v>9181324</v>
      </c>
      <c r="E10" s="9"/>
      <c r="F10" s="9">
        <f aca="true" t="shared" si="0" ref="F10:F20">C10+D10</f>
        <v>61346951.39</v>
      </c>
      <c r="G10" s="9" t="s">
        <v>127</v>
      </c>
      <c r="H10" s="9">
        <v>94450</v>
      </c>
    </row>
    <row r="11" spans="1:8" ht="23.25">
      <c r="A11" s="46"/>
      <c r="B11" s="54" t="s">
        <v>458</v>
      </c>
      <c r="C11" s="9">
        <f>144500</f>
        <v>144500</v>
      </c>
      <c r="D11" s="9"/>
      <c r="E11" s="9"/>
      <c r="F11" s="9">
        <f t="shared" si="0"/>
        <v>144500</v>
      </c>
      <c r="G11" s="9" t="s">
        <v>128</v>
      </c>
      <c r="H11" s="9">
        <f>28508478+4106780+4401000+96000</f>
        <v>37112258</v>
      </c>
    </row>
    <row r="12" spans="1:8" ht="23.25">
      <c r="A12" s="46"/>
      <c r="B12" s="54" t="s">
        <v>459</v>
      </c>
      <c r="C12" s="9">
        <f>149500</f>
        <v>149500</v>
      </c>
      <c r="D12" s="9"/>
      <c r="E12" s="9"/>
      <c r="F12" s="9">
        <f t="shared" si="0"/>
        <v>149500</v>
      </c>
      <c r="G12" s="9"/>
      <c r="H12" s="9"/>
    </row>
    <row r="13" spans="1:8" ht="23.25">
      <c r="A13" s="46"/>
      <c r="B13" s="54" t="s">
        <v>460</v>
      </c>
      <c r="C13" s="9">
        <f>99000</f>
        <v>99000</v>
      </c>
      <c r="D13" s="9"/>
      <c r="E13" s="9"/>
      <c r="F13" s="9">
        <f t="shared" si="0"/>
        <v>99000</v>
      </c>
      <c r="G13" s="9"/>
      <c r="H13" s="9"/>
    </row>
    <row r="14" spans="1:8" ht="23.25">
      <c r="A14" s="46" t="s">
        <v>122</v>
      </c>
      <c r="B14" s="54"/>
      <c r="C14" s="8"/>
      <c r="D14" s="8"/>
      <c r="E14" s="8"/>
      <c r="F14" s="9">
        <f t="shared" si="0"/>
        <v>0</v>
      </c>
      <c r="G14" s="9"/>
      <c r="H14" s="9"/>
    </row>
    <row r="15" spans="1:8" ht="23.25">
      <c r="A15" s="46"/>
      <c r="B15" s="54" t="s">
        <v>461</v>
      </c>
      <c r="C15" s="9">
        <f>10417413.69+335870+42100</f>
        <v>10795383.69</v>
      </c>
      <c r="D15" s="9">
        <v>102460</v>
      </c>
      <c r="E15" s="9"/>
      <c r="F15" s="9">
        <f t="shared" si="0"/>
        <v>10897843.69</v>
      </c>
      <c r="G15" s="9"/>
      <c r="H15" s="9"/>
    </row>
    <row r="16" spans="1:8" ht="23.25">
      <c r="A16" s="46"/>
      <c r="B16" s="54" t="s">
        <v>515</v>
      </c>
      <c r="C16" s="9">
        <f>734000+648000</f>
        <v>1382000</v>
      </c>
      <c r="D16" s="9">
        <v>0</v>
      </c>
      <c r="E16" s="9"/>
      <c r="F16" s="9">
        <f t="shared" si="0"/>
        <v>1382000</v>
      </c>
      <c r="G16" s="9"/>
      <c r="H16" s="9"/>
    </row>
    <row r="17" spans="1:8" ht="23.25">
      <c r="A17" s="46"/>
      <c r="B17" s="54" t="s">
        <v>514</v>
      </c>
      <c r="C17" s="9">
        <v>19790</v>
      </c>
      <c r="D17" s="9">
        <v>0</v>
      </c>
      <c r="E17" s="9"/>
      <c r="F17" s="9">
        <f t="shared" si="0"/>
        <v>19790</v>
      </c>
      <c r="G17" s="9"/>
      <c r="H17" s="9"/>
    </row>
    <row r="18" spans="1:8" ht="23.25">
      <c r="A18" s="46"/>
      <c r="B18" s="54" t="s">
        <v>120</v>
      </c>
      <c r="C18" s="9">
        <f>6925000+740500+63000</f>
        <v>7728500</v>
      </c>
      <c r="D18" s="9">
        <v>0</v>
      </c>
      <c r="E18" s="9"/>
      <c r="F18" s="9">
        <f t="shared" si="0"/>
        <v>7728500</v>
      </c>
      <c r="G18" s="9"/>
      <c r="H18" s="9"/>
    </row>
    <row r="19" spans="1:8" ht="23.25">
      <c r="A19" s="46"/>
      <c r="B19" s="54" t="s">
        <v>294</v>
      </c>
      <c r="C19" s="9">
        <f>3000+15000+5000</f>
        <v>23000</v>
      </c>
      <c r="D19" s="9">
        <v>0</v>
      </c>
      <c r="E19" s="9"/>
      <c r="F19" s="9">
        <f t="shared" si="0"/>
        <v>23000</v>
      </c>
      <c r="G19" s="9"/>
      <c r="H19" s="9"/>
    </row>
    <row r="20" spans="1:8" ht="23.25">
      <c r="A20" s="46"/>
      <c r="B20" s="54" t="s">
        <v>295</v>
      </c>
      <c r="C20" s="9">
        <f>10000+336350</f>
        <v>346350</v>
      </c>
      <c r="D20" s="9">
        <v>0</v>
      </c>
      <c r="E20" s="9"/>
      <c r="F20" s="9">
        <f t="shared" si="0"/>
        <v>346350</v>
      </c>
      <c r="G20" s="9"/>
      <c r="H20" s="9"/>
    </row>
    <row r="21" spans="1:8" ht="23.25">
      <c r="A21" s="190"/>
      <c r="B21" s="191" t="s">
        <v>369</v>
      </c>
      <c r="C21" s="37">
        <f>208990+204300+2950</f>
        <v>416240</v>
      </c>
      <c r="D21" s="37">
        <v>48700</v>
      </c>
      <c r="E21" s="37"/>
      <c r="F21" s="9">
        <f aca="true" t="shared" si="1" ref="F21:F28">C21+D21</f>
        <v>464940</v>
      </c>
      <c r="G21" s="37"/>
      <c r="H21" s="37"/>
    </row>
    <row r="22" spans="1:8" ht="23.25">
      <c r="A22" s="190"/>
      <c r="B22" s="54" t="s">
        <v>462</v>
      </c>
      <c r="C22" s="9">
        <f>64500+14240</f>
        <v>78740</v>
      </c>
      <c r="D22" s="9">
        <v>96000</v>
      </c>
      <c r="E22" s="9"/>
      <c r="F22" s="9">
        <f t="shared" si="1"/>
        <v>174740</v>
      </c>
      <c r="G22" s="37"/>
      <c r="H22" s="37"/>
    </row>
    <row r="23" spans="1:8" ht="23.25">
      <c r="A23" s="190"/>
      <c r="B23" s="54" t="s">
        <v>463</v>
      </c>
      <c r="C23" s="9">
        <f>20000+39155</f>
        <v>59155</v>
      </c>
      <c r="D23" s="9">
        <v>0</v>
      </c>
      <c r="E23" s="9"/>
      <c r="F23" s="9">
        <f t="shared" si="1"/>
        <v>59155</v>
      </c>
      <c r="G23" s="37"/>
      <c r="H23" s="37"/>
    </row>
    <row r="24" spans="1:8" ht="23.25">
      <c r="A24" s="190"/>
      <c r="B24" s="191" t="s">
        <v>464</v>
      </c>
      <c r="C24" s="37">
        <f>84969</f>
        <v>84969</v>
      </c>
      <c r="D24" s="37"/>
      <c r="E24" s="37"/>
      <c r="F24" s="37">
        <f t="shared" si="1"/>
        <v>84969</v>
      </c>
      <c r="G24" s="37"/>
      <c r="H24" s="37"/>
    </row>
    <row r="25" spans="1:8" ht="23.25">
      <c r="A25" s="47"/>
      <c r="B25" s="55" t="s">
        <v>511</v>
      </c>
      <c r="C25" s="10">
        <v>160000</v>
      </c>
      <c r="D25" s="10">
        <v>0</v>
      </c>
      <c r="E25" s="10"/>
      <c r="F25" s="10">
        <f t="shared" si="1"/>
        <v>160000</v>
      </c>
      <c r="G25" s="10"/>
      <c r="H25" s="10"/>
    </row>
    <row r="26" spans="1:8" ht="23.25">
      <c r="A26" s="25"/>
      <c r="B26" s="216" t="s">
        <v>512</v>
      </c>
      <c r="C26" s="7">
        <v>130000</v>
      </c>
      <c r="D26" s="7">
        <v>0</v>
      </c>
      <c r="E26" s="7"/>
      <c r="F26" s="22">
        <f t="shared" si="1"/>
        <v>130000</v>
      </c>
      <c r="G26" s="7"/>
      <c r="H26" s="7"/>
    </row>
    <row r="27" spans="1:8" ht="23.25">
      <c r="A27" s="25"/>
      <c r="B27" s="54" t="s">
        <v>513</v>
      </c>
      <c r="C27" s="9">
        <v>1281380</v>
      </c>
      <c r="D27" s="9">
        <v>0</v>
      </c>
      <c r="E27" s="9"/>
      <c r="F27" s="37">
        <f>C27+D27</f>
        <v>1281380</v>
      </c>
      <c r="G27" s="22"/>
      <c r="H27" s="22"/>
    </row>
    <row r="28" spans="1:8" ht="23.25">
      <c r="A28" s="47"/>
      <c r="B28" s="320" t="s">
        <v>676</v>
      </c>
      <c r="C28" s="220">
        <v>0</v>
      </c>
      <c r="D28" s="220">
        <v>25000</v>
      </c>
      <c r="E28" s="220"/>
      <c r="F28" s="37">
        <f t="shared" si="1"/>
        <v>25000</v>
      </c>
      <c r="G28" s="10"/>
      <c r="H28" s="10"/>
    </row>
    <row r="29" spans="1:8" ht="23.25">
      <c r="A29" s="403" t="s">
        <v>61</v>
      </c>
      <c r="B29" s="397"/>
      <c r="C29" s="11">
        <f>SUM(C7:C28)</f>
        <v>90813329.08</v>
      </c>
      <c r="D29" s="11">
        <f>SUM(D7:D28)</f>
        <v>9453484</v>
      </c>
      <c r="E29" s="11">
        <f>SUM(E7:E28)</f>
        <v>0</v>
      </c>
      <c r="F29" s="35">
        <f>SUM(F7:F28)</f>
        <v>100266813.08</v>
      </c>
      <c r="G29" s="11"/>
      <c r="H29" s="11">
        <f>SUM(H7:H20)</f>
        <v>100266813.08</v>
      </c>
    </row>
    <row r="30" spans="1:8" ht="23.25">
      <c r="A30" s="30"/>
      <c r="B30" s="30"/>
      <c r="C30" s="188"/>
      <c r="D30" s="188"/>
      <c r="E30" s="188"/>
      <c r="F30" s="188"/>
      <c r="G30" s="188"/>
      <c r="H30" s="188"/>
    </row>
    <row r="31" spans="1:8" ht="23.25">
      <c r="A31" s="30"/>
      <c r="B31" s="30"/>
      <c r="C31" s="188"/>
      <c r="D31" s="188"/>
      <c r="E31" s="188"/>
      <c r="F31" s="188"/>
      <c r="G31" s="188"/>
      <c r="H31" s="188"/>
    </row>
    <row r="33" spans="1:8" ht="23.25">
      <c r="A33" s="370"/>
      <c r="B33" s="370"/>
      <c r="C33" s="370"/>
      <c r="D33" s="5"/>
      <c r="E33" s="5"/>
      <c r="F33" s="5"/>
      <c r="G33" s="5"/>
      <c r="H33" s="5"/>
    </row>
    <row r="34" spans="1:8" ht="23.25">
      <c r="A34" s="370"/>
      <c r="B34" s="370"/>
      <c r="C34" s="370"/>
      <c r="D34" s="5"/>
      <c r="E34" s="5"/>
      <c r="F34" s="5"/>
      <c r="G34" s="5"/>
      <c r="H34" s="5"/>
    </row>
    <row r="35" spans="1:8" ht="23.25">
      <c r="A35" s="370"/>
      <c r="B35" s="370"/>
      <c r="C35" s="370"/>
      <c r="D35" s="5"/>
      <c r="E35" s="5"/>
      <c r="F35" s="5"/>
      <c r="G35" s="5"/>
      <c r="H35" s="5"/>
    </row>
    <row r="36" spans="1:8" ht="23.25">
      <c r="A36" s="5"/>
      <c r="B36" s="5"/>
      <c r="C36" s="5"/>
      <c r="D36" s="5"/>
      <c r="E36" s="5"/>
      <c r="F36" s="5"/>
      <c r="G36" s="5"/>
      <c r="H36" s="5"/>
    </row>
    <row r="37" spans="1:8" ht="23.25">
      <c r="A37" s="5"/>
      <c r="B37" s="5"/>
      <c r="C37" s="5"/>
      <c r="D37" s="5"/>
      <c r="E37" s="5"/>
      <c r="F37" s="5"/>
      <c r="G37" s="5"/>
      <c r="H37" s="5"/>
    </row>
    <row r="38" spans="1:8" ht="23.25">
      <c r="A38" s="5"/>
      <c r="B38" s="5"/>
      <c r="C38" s="5"/>
      <c r="D38" s="5"/>
      <c r="E38" s="5"/>
      <c r="F38" s="5"/>
      <c r="G38" s="5"/>
      <c r="H38" s="5"/>
    </row>
    <row r="39" spans="1:8" ht="23.25">
      <c r="A39" s="5"/>
      <c r="B39" s="5"/>
      <c r="C39" s="5"/>
      <c r="D39" s="5"/>
      <c r="E39" s="5"/>
      <c r="F39" s="5"/>
      <c r="G39" s="5"/>
      <c r="H39" s="5"/>
    </row>
    <row r="40" spans="1:8" ht="23.25">
      <c r="A40" s="5"/>
      <c r="B40" s="5"/>
      <c r="C40" s="5"/>
      <c r="D40" s="5"/>
      <c r="E40" s="5"/>
      <c r="F40" s="5"/>
      <c r="G40" s="5"/>
      <c r="H40" s="5"/>
    </row>
    <row r="41" spans="1:8" ht="23.25">
      <c r="A41" s="5"/>
      <c r="B41" s="5"/>
      <c r="C41" s="5"/>
      <c r="D41" s="5"/>
      <c r="E41" s="5"/>
      <c r="F41" s="5"/>
      <c r="G41" s="5"/>
      <c r="H41" s="5"/>
    </row>
    <row r="42" spans="1:8" ht="23.25">
      <c r="A42" s="5"/>
      <c r="B42" s="5"/>
      <c r="C42" s="5"/>
      <c r="D42" s="5"/>
      <c r="E42" s="5"/>
      <c r="F42" s="5"/>
      <c r="G42" s="5"/>
      <c r="H42" s="5"/>
    </row>
    <row r="43" spans="1:8" ht="23.25">
      <c r="A43" s="370"/>
      <c r="B43" s="370"/>
      <c r="C43" s="370"/>
      <c r="D43" s="370"/>
      <c r="E43" s="370"/>
      <c r="F43" s="370"/>
      <c r="G43" s="370"/>
      <c r="H43" s="370"/>
    </row>
    <row r="44" ht="23.25">
      <c r="I44" s="199"/>
    </row>
    <row r="45" spans="1:8" ht="23.25">
      <c r="A45" s="370"/>
      <c r="B45" s="370"/>
      <c r="C45" s="370"/>
      <c r="D45" s="370"/>
      <c r="E45" s="370"/>
      <c r="F45" s="370"/>
      <c r="G45" s="370"/>
      <c r="H45" s="370"/>
    </row>
    <row r="46" spans="1:8" ht="23.25">
      <c r="A46" s="370"/>
      <c r="B46" s="370"/>
      <c r="C46" s="370"/>
      <c r="D46" s="370"/>
      <c r="E46" s="370"/>
      <c r="F46" s="370"/>
      <c r="G46" s="370"/>
      <c r="H46" s="370"/>
    </row>
    <row r="47" spans="1:8" ht="23.25">
      <c r="A47" s="370"/>
      <c r="B47" s="370"/>
      <c r="C47" s="370"/>
      <c r="D47" s="370"/>
      <c r="E47" s="370"/>
      <c r="F47" s="370"/>
      <c r="G47" s="370"/>
      <c r="H47" s="370"/>
    </row>
    <row r="48" spans="1:8" ht="23.25">
      <c r="A48" s="370"/>
      <c r="B48" s="370"/>
      <c r="C48" s="370"/>
      <c r="D48" s="370"/>
      <c r="E48" s="370"/>
      <c r="F48" s="370"/>
      <c r="G48" s="370"/>
      <c r="H48" s="370"/>
    </row>
  </sheetData>
  <mergeCells count="15">
    <mergeCell ref="A35:C35"/>
    <mergeCell ref="A47:H47"/>
    <mergeCell ref="A48:H48"/>
    <mergeCell ref="A43:H43"/>
    <mergeCell ref="A45:H45"/>
    <mergeCell ref="A46:H46"/>
    <mergeCell ref="A29:B29"/>
    <mergeCell ref="H5:H6"/>
    <mergeCell ref="A33:C33"/>
    <mergeCell ref="A34:C34"/>
    <mergeCell ref="A1:H1"/>
    <mergeCell ref="A2:H2"/>
    <mergeCell ref="A3:H3"/>
    <mergeCell ref="A5:B6"/>
    <mergeCell ref="G5:G6"/>
  </mergeCells>
  <printOptions/>
  <pageMargins left="0.5511811023622047" right="0.4724409448818898" top="0.2755905511811024" bottom="0.2755905511811024" header="0.56" footer="0.5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75" zoomScaleNormal="75" workbookViewId="0" topLeftCell="A1">
      <selection activeCell="F49" sqref="F49"/>
    </sheetView>
  </sheetViews>
  <sheetFormatPr defaultColWidth="9.140625" defaultRowHeight="21.75"/>
  <cols>
    <col min="1" max="1" width="37.7109375" style="1" customWidth="1"/>
    <col min="2" max="2" width="11.140625" style="1" customWidth="1"/>
    <col min="3" max="4" width="16.8515625" style="1" customWidth="1"/>
    <col min="5" max="5" width="16.7109375" style="1" customWidth="1"/>
    <col min="6" max="6" width="16.8515625" style="1" customWidth="1"/>
    <col min="7" max="10" width="16.7109375" style="1" customWidth="1"/>
    <col min="11" max="11" width="13.7109375" style="1" customWidth="1"/>
    <col min="12" max="16384" width="9.140625" style="1" customWidth="1"/>
  </cols>
  <sheetData>
    <row r="1" spans="1:10" ht="23.25">
      <c r="A1" s="361" t="s">
        <v>0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ht="23.25">
      <c r="A2" s="361" t="s">
        <v>129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ht="23.25">
      <c r="A3" s="361" t="s">
        <v>685</v>
      </c>
      <c r="B3" s="361"/>
      <c r="C3" s="361"/>
      <c r="D3" s="361"/>
      <c r="E3" s="361"/>
      <c r="F3" s="361"/>
      <c r="G3" s="361"/>
      <c r="H3" s="361"/>
      <c r="I3" s="361"/>
      <c r="J3" s="361"/>
    </row>
    <row r="5" spans="1:10" s="5" customFormat="1" ht="23.25">
      <c r="A5" s="393" t="s">
        <v>5</v>
      </c>
      <c r="B5" s="393" t="s">
        <v>49</v>
      </c>
      <c r="C5" s="363" t="s">
        <v>48</v>
      </c>
      <c r="D5" s="363"/>
      <c r="E5" s="363" t="s">
        <v>130</v>
      </c>
      <c r="F5" s="363"/>
      <c r="G5" s="363" t="s">
        <v>131</v>
      </c>
      <c r="H5" s="363"/>
      <c r="I5" s="363" t="s">
        <v>101</v>
      </c>
      <c r="J5" s="363"/>
    </row>
    <row r="6" spans="1:10" s="5" customFormat="1" ht="23.25">
      <c r="A6" s="395"/>
      <c r="B6" s="395"/>
      <c r="C6" s="3" t="s">
        <v>50</v>
      </c>
      <c r="D6" s="3" t="s">
        <v>51</v>
      </c>
      <c r="E6" s="3" t="s">
        <v>50</v>
      </c>
      <c r="F6" s="3" t="s">
        <v>51</v>
      </c>
      <c r="G6" s="3" t="s">
        <v>50</v>
      </c>
      <c r="H6" s="3" t="s">
        <v>51</v>
      </c>
      <c r="I6" s="3" t="s">
        <v>102</v>
      </c>
      <c r="J6" s="3" t="s">
        <v>132</v>
      </c>
    </row>
    <row r="7" spans="1:10" ht="23.25">
      <c r="A7" s="21" t="s">
        <v>52</v>
      </c>
      <c r="B7" s="21"/>
      <c r="C7" s="178"/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f>C7</f>
        <v>0</v>
      </c>
      <c r="J7" s="34">
        <v>0</v>
      </c>
    </row>
    <row r="8" spans="1:10" ht="23.25">
      <c r="A8" s="8" t="s">
        <v>56</v>
      </c>
      <c r="B8" s="8"/>
      <c r="C8" s="9">
        <v>73713.8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f>C8</f>
        <v>73713.8</v>
      </c>
      <c r="J8" s="9">
        <v>0</v>
      </c>
    </row>
    <row r="9" spans="1:10" ht="23.25">
      <c r="A9" s="8" t="s">
        <v>53</v>
      </c>
      <c r="B9" s="8"/>
      <c r="C9" s="9">
        <v>17828627.69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f aca="true" t="shared" si="0" ref="I9:I15">C9</f>
        <v>17828627.69</v>
      </c>
      <c r="J9" s="9">
        <v>0</v>
      </c>
    </row>
    <row r="10" spans="1:10" ht="23.25">
      <c r="A10" s="8" t="s">
        <v>485</v>
      </c>
      <c r="B10" s="8"/>
      <c r="C10" s="9">
        <v>8805594.12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f t="shared" si="0"/>
        <v>8805594.12</v>
      </c>
      <c r="J10" s="9">
        <v>0</v>
      </c>
    </row>
    <row r="11" spans="1:10" ht="23.25">
      <c r="A11" s="8" t="s">
        <v>509</v>
      </c>
      <c r="B11" s="8"/>
      <c r="C11" s="9">
        <v>402393.76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f t="shared" si="0"/>
        <v>402393.76</v>
      </c>
      <c r="J11" s="9">
        <v>0</v>
      </c>
    </row>
    <row r="12" spans="1:10" ht="23.25">
      <c r="A12" s="8" t="s">
        <v>55</v>
      </c>
      <c r="B12" s="8"/>
      <c r="C12" s="9">
        <v>201844.95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201844.95</v>
      </c>
      <c r="J12" s="9">
        <v>0</v>
      </c>
    </row>
    <row r="13" spans="1:10" ht="23.25">
      <c r="A13" s="8" t="s">
        <v>269</v>
      </c>
      <c r="B13" s="8"/>
      <c r="C13" s="9">
        <v>1581.3</v>
      </c>
      <c r="D13" s="9">
        <v>0</v>
      </c>
      <c r="E13" s="9">
        <v>2407.4</v>
      </c>
      <c r="F13" s="9">
        <f>1064.78</f>
        <v>1064.78</v>
      </c>
      <c r="G13" s="9">
        <v>0</v>
      </c>
      <c r="H13" s="9">
        <v>0</v>
      </c>
      <c r="I13" s="9">
        <f>C13+E13-F13</f>
        <v>2923.92</v>
      </c>
      <c r="J13" s="9">
        <v>0</v>
      </c>
    </row>
    <row r="14" spans="1:10" ht="23.25">
      <c r="A14" s="8" t="s">
        <v>268</v>
      </c>
      <c r="B14" s="8"/>
      <c r="C14" s="9">
        <v>718600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f t="shared" si="0"/>
        <v>718600</v>
      </c>
      <c r="J14" s="9">
        <v>0</v>
      </c>
    </row>
    <row r="15" spans="1:10" ht="23.25">
      <c r="A15" s="8" t="s">
        <v>298</v>
      </c>
      <c r="B15" s="8"/>
      <c r="C15" s="128" t="s">
        <v>520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 t="str">
        <f t="shared" si="0"/>
        <v>-</v>
      </c>
      <c r="J15" s="9">
        <v>0</v>
      </c>
    </row>
    <row r="16" spans="1:10" ht="23.25">
      <c r="A16" s="8" t="s">
        <v>29</v>
      </c>
      <c r="B16" s="8"/>
      <c r="C16" s="9">
        <v>2289179.2</v>
      </c>
      <c r="D16" s="9">
        <v>0</v>
      </c>
      <c r="E16" s="9">
        <v>0</v>
      </c>
      <c r="F16" s="9">
        <v>0</v>
      </c>
      <c r="G16" s="9">
        <v>0</v>
      </c>
      <c r="H16" s="9">
        <f aca="true" t="shared" si="1" ref="H16:H22">C16</f>
        <v>2289179.2</v>
      </c>
      <c r="I16" s="9">
        <v>0</v>
      </c>
      <c r="J16" s="9">
        <v>0</v>
      </c>
    </row>
    <row r="17" spans="1:10" ht="23.25">
      <c r="A17" s="8" t="s">
        <v>69</v>
      </c>
      <c r="B17" s="8"/>
      <c r="C17" s="9">
        <v>4266743.93</v>
      </c>
      <c r="D17" s="9">
        <v>0</v>
      </c>
      <c r="E17" s="9">
        <v>0</v>
      </c>
      <c r="F17" s="9">
        <v>0</v>
      </c>
      <c r="G17" s="9">
        <v>0</v>
      </c>
      <c r="H17" s="9">
        <f t="shared" si="1"/>
        <v>4266743.93</v>
      </c>
      <c r="I17" s="9">
        <v>0</v>
      </c>
      <c r="J17" s="9">
        <v>0</v>
      </c>
    </row>
    <row r="18" spans="1:10" ht="23.25">
      <c r="A18" s="8" t="s">
        <v>67</v>
      </c>
      <c r="B18" s="8"/>
      <c r="C18" s="9">
        <v>2554360</v>
      </c>
      <c r="D18" s="9">
        <v>0</v>
      </c>
      <c r="E18" s="9">
        <v>0</v>
      </c>
      <c r="F18" s="9">
        <v>0</v>
      </c>
      <c r="G18" s="9">
        <v>0</v>
      </c>
      <c r="H18" s="9">
        <f t="shared" si="1"/>
        <v>2554360</v>
      </c>
      <c r="I18" s="9">
        <v>0</v>
      </c>
      <c r="J18" s="9">
        <v>0</v>
      </c>
    </row>
    <row r="19" spans="1:10" ht="23.25">
      <c r="A19" s="8" t="s">
        <v>31</v>
      </c>
      <c r="B19" s="8"/>
      <c r="C19" s="9">
        <v>2584962.19</v>
      </c>
      <c r="D19" s="9">
        <v>0</v>
      </c>
      <c r="E19" s="9">
        <v>0</v>
      </c>
      <c r="F19" s="9">
        <v>0</v>
      </c>
      <c r="G19" s="9">
        <v>0</v>
      </c>
      <c r="H19" s="9">
        <f t="shared" si="1"/>
        <v>2584962.19</v>
      </c>
      <c r="I19" s="9">
        <v>0</v>
      </c>
      <c r="J19" s="9">
        <v>0</v>
      </c>
    </row>
    <row r="20" spans="1:10" ht="23.25">
      <c r="A20" s="8" t="s">
        <v>32</v>
      </c>
      <c r="B20" s="8"/>
      <c r="C20" s="9">
        <v>8168653.62</v>
      </c>
      <c r="D20" s="9">
        <v>0</v>
      </c>
      <c r="E20" s="9">
        <v>0</v>
      </c>
      <c r="F20" s="9">
        <v>0</v>
      </c>
      <c r="G20" s="9">
        <v>0</v>
      </c>
      <c r="H20" s="9">
        <f t="shared" si="1"/>
        <v>8168653.62</v>
      </c>
      <c r="I20" s="9">
        <v>0</v>
      </c>
      <c r="J20" s="9">
        <v>0</v>
      </c>
    </row>
    <row r="21" spans="1:10" ht="23.25">
      <c r="A21" s="8" t="s">
        <v>33</v>
      </c>
      <c r="B21" s="8"/>
      <c r="C21" s="9">
        <v>2865154.12</v>
      </c>
      <c r="D21" s="9">
        <v>0</v>
      </c>
      <c r="E21" s="9">
        <v>0</v>
      </c>
      <c r="F21" s="9">
        <v>0</v>
      </c>
      <c r="G21" s="9">
        <v>0</v>
      </c>
      <c r="H21" s="9">
        <f t="shared" si="1"/>
        <v>2865154.12</v>
      </c>
      <c r="I21" s="9">
        <v>0</v>
      </c>
      <c r="J21" s="9">
        <v>0</v>
      </c>
    </row>
    <row r="22" spans="1:10" ht="23.25">
      <c r="A22" s="8" t="s">
        <v>34</v>
      </c>
      <c r="B22" s="8"/>
      <c r="C22" s="9">
        <v>218568.28</v>
      </c>
      <c r="D22" s="9">
        <v>0</v>
      </c>
      <c r="E22" s="9">
        <v>0</v>
      </c>
      <c r="F22" s="9">
        <v>0</v>
      </c>
      <c r="G22" s="9">
        <v>0</v>
      </c>
      <c r="H22" s="9">
        <f t="shared" si="1"/>
        <v>218568.28</v>
      </c>
      <c r="I22" s="9">
        <v>0</v>
      </c>
      <c r="J22" s="9">
        <v>0</v>
      </c>
    </row>
    <row r="23" spans="1:10" ht="23.25">
      <c r="A23" s="8" t="s">
        <v>17</v>
      </c>
      <c r="B23" s="8"/>
      <c r="C23" s="9">
        <v>1680994.79</v>
      </c>
      <c r="D23" s="9">
        <v>0</v>
      </c>
      <c r="E23" s="9">
        <v>0</v>
      </c>
      <c r="F23" s="9">
        <v>0</v>
      </c>
      <c r="G23" s="9">
        <v>0</v>
      </c>
      <c r="H23" s="9">
        <f>C23</f>
        <v>1680994.79</v>
      </c>
      <c r="I23" s="9">
        <v>0</v>
      </c>
      <c r="J23" s="9">
        <v>0</v>
      </c>
    </row>
    <row r="24" spans="1:10" ht="23.25">
      <c r="A24" s="8" t="s">
        <v>686</v>
      </c>
      <c r="B24" s="197"/>
      <c r="C24" s="10">
        <v>3458000</v>
      </c>
      <c r="D24" s="10">
        <v>0</v>
      </c>
      <c r="E24" s="10">
        <v>0</v>
      </c>
      <c r="F24" s="10">
        <v>0</v>
      </c>
      <c r="G24" s="10">
        <v>0</v>
      </c>
      <c r="H24" s="10">
        <f>C24</f>
        <v>3458000</v>
      </c>
      <c r="I24" s="10">
        <v>0</v>
      </c>
      <c r="J24" s="10">
        <v>0</v>
      </c>
    </row>
    <row r="25" spans="1:10" ht="23.25">
      <c r="A25" s="3" t="s">
        <v>40</v>
      </c>
      <c r="B25" s="38"/>
      <c r="C25" s="28">
        <f>SUM(C7:C24)</f>
        <v>56118971.74999999</v>
      </c>
      <c r="D25" s="28">
        <f>SUM(D3:D20)</f>
        <v>0</v>
      </c>
      <c r="E25" s="28">
        <f>SUM(E3:E20)</f>
        <v>2407.4</v>
      </c>
      <c r="F25" s="28">
        <f>SUM(F7:F20)</f>
        <v>1064.78</v>
      </c>
      <c r="G25" s="28">
        <f>SUM(G3:G20)</f>
        <v>0</v>
      </c>
      <c r="H25" s="28">
        <f>SUM(H7:H24)</f>
        <v>28086616.13</v>
      </c>
      <c r="I25" s="28">
        <f>SUM(I7:I24)</f>
        <v>28033698.240000002</v>
      </c>
      <c r="J25" s="28">
        <v>0</v>
      </c>
    </row>
    <row r="26" spans="1:10" ht="23.25">
      <c r="A26" s="3" t="s">
        <v>9</v>
      </c>
      <c r="B26" s="38"/>
      <c r="C26" s="28">
        <f>C25</f>
        <v>56118971.74999999</v>
      </c>
      <c r="D26" s="28">
        <f>D20</f>
        <v>0</v>
      </c>
      <c r="E26" s="28">
        <v>2407.4</v>
      </c>
      <c r="F26" s="28">
        <f>F25</f>
        <v>1064.78</v>
      </c>
      <c r="G26" s="28">
        <f>G25</f>
        <v>0</v>
      </c>
      <c r="H26" s="28">
        <f>H25</f>
        <v>28086616.13</v>
      </c>
      <c r="I26" s="28">
        <f>I25</f>
        <v>28033698.240000002</v>
      </c>
      <c r="J26" s="28">
        <v>0</v>
      </c>
    </row>
    <row r="27" spans="1:10" ht="23.25">
      <c r="A27" s="8" t="s">
        <v>548</v>
      </c>
      <c r="B27" s="124"/>
      <c r="C27" s="34">
        <v>1423620</v>
      </c>
      <c r="D27" s="34"/>
      <c r="E27" s="34"/>
      <c r="F27" s="34"/>
      <c r="G27" s="34"/>
      <c r="H27" s="34">
        <f>C27</f>
        <v>1423620</v>
      </c>
      <c r="I27" s="34"/>
      <c r="J27" s="34"/>
    </row>
    <row r="28" spans="1:10" ht="23.25">
      <c r="A28" s="8" t="s">
        <v>35</v>
      </c>
      <c r="B28" s="8"/>
      <c r="C28" s="9">
        <v>151160</v>
      </c>
      <c r="D28" s="22"/>
      <c r="E28" s="22"/>
      <c r="F28" s="22"/>
      <c r="G28" s="22"/>
      <c r="H28" s="22">
        <f>C28</f>
        <v>151160</v>
      </c>
      <c r="I28" s="22"/>
      <c r="J28" s="22"/>
    </row>
    <row r="29" spans="1:10" ht="23.25">
      <c r="A29" s="6" t="s">
        <v>36</v>
      </c>
      <c r="B29" s="6"/>
      <c r="C29" s="7">
        <v>5141524</v>
      </c>
      <c r="D29" s="9">
        <v>0</v>
      </c>
      <c r="E29" s="9">
        <v>0</v>
      </c>
      <c r="F29" s="9">
        <v>0</v>
      </c>
      <c r="G29" s="9">
        <v>0</v>
      </c>
      <c r="H29" s="9">
        <f>C29</f>
        <v>5141524</v>
      </c>
      <c r="I29" s="9">
        <v>0</v>
      </c>
      <c r="J29" s="9">
        <v>0</v>
      </c>
    </row>
    <row r="30" spans="1:10" ht="23.25">
      <c r="A30" s="8" t="s">
        <v>299</v>
      </c>
      <c r="B30" s="8"/>
      <c r="C30" s="9"/>
      <c r="D30" s="9"/>
      <c r="E30" s="9"/>
      <c r="F30" s="9"/>
      <c r="G30" s="9"/>
      <c r="H30" s="9"/>
      <c r="I30" s="9"/>
      <c r="J30" s="9"/>
    </row>
    <row r="31" spans="1:10" ht="23.25">
      <c r="A31" s="8" t="s">
        <v>76</v>
      </c>
      <c r="B31" s="8"/>
      <c r="C31" s="9">
        <v>0</v>
      </c>
      <c r="D31" s="9">
        <v>41888241.64</v>
      </c>
      <c r="E31" s="9">
        <v>0</v>
      </c>
      <c r="F31" s="9">
        <v>0</v>
      </c>
      <c r="G31" s="9">
        <f>D31</f>
        <v>41888241.64</v>
      </c>
      <c r="H31" s="9">
        <f>C31</f>
        <v>0</v>
      </c>
      <c r="I31" s="9">
        <v>0</v>
      </c>
      <c r="J31" s="9">
        <v>0</v>
      </c>
    </row>
    <row r="32" spans="1:10" ht="23.25">
      <c r="A32" s="8" t="s">
        <v>522</v>
      </c>
      <c r="B32" s="8"/>
      <c r="C32" s="9"/>
      <c r="D32" s="177">
        <v>3846.68</v>
      </c>
      <c r="E32" s="9">
        <f>1064.78+2265.38</f>
        <v>3330.16</v>
      </c>
      <c r="F32" s="9">
        <v>2407.4</v>
      </c>
      <c r="G32" s="9"/>
      <c r="H32" s="9"/>
      <c r="I32" s="9"/>
      <c r="J32" s="9">
        <f>D32+F32-E32</f>
        <v>2923.92</v>
      </c>
    </row>
    <row r="33" spans="1:10" ht="23.25">
      <c r="A33" s="8" t="s">
        <v>95</v>
      </c>
      <c r="B33" s="8"/>
      <c r="C33" s="9">
        <v>0</v>
      </c>
      <c r="D33" s="177">
        <f>หมายเหตุ5!C15</f>
        <v>950595.6799999999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f>D33</f>
        <v>950595.6799999999</v>
      </c>
    </row>
    <row r="34" spans="1:11" ht="23.25">
      <c r="A34" s="8" t="s">
        <v>37</v>
      </c>
      <c r="B34" s="8"/>
      <c r="C34" s="9">
        <v>0</v>
      </c>
      <c r="D34" s="9">
        <v>6448706.73</v>
      </c>
      <c r="E34" s="9">
        <v>1771330.38</v>
      </c>
      <c r="F34" s="9">
        <f>2265.38+73313.13</f>
        <v>75578.51000000001</v>
      </c>
      <c r="G34" s="9">
        <v>0</v>
      </c>
      <c r="H34" s="9">
        <f>7085321.51</f>
        <v>7085321.51</v>
      </c>
      <c r="I34" s="9"/>
      <c r="J34" s="9">
        <f>D34+F34+H34-E34-G34</f>
        <v>11838276.370000001</v>
      </c>
      <c r="K34" s="109"/>
    </row>
    <row r="35" spans="1:11" ht="23.25">
      <c r="A35" s="9" t="s">
        <v>300</v>
      </c>
      <c r="B35" s="8"/>
      <c r="C35" s="9">
        <v>0</v>
      </c>
      <c r="D35" s="9">
        <v>9611431.93</v>
      </c>
      <c r="E35" s="9">
        <v>0</v>
      </c>
      <c r="F35" s="9">
        <f>หมายเหตุ8!D16</f>
        <v>1771330.3775</v>
      </c>
      <c r="G35" s="9">
        <v>0</v>
      </c>
      <c r="H35" s="9">
        <v>0</v>
      </c>
      <c r="I35" s="9">
        <v>0</v>
      </c>
      <c r="J35" s="9">
        <f>D35+F35</f>
        <v>11382762.3075</v>
      </c>
      <c r="K35" s="109"/>
    </row>
    <row r="36" spans="1:10" ht="23.25">
      <c r="A36" s="8" t="s">
        <v>267</v>
      </c>
      <c r="B36" s="8"/>
      <c r="C36" s="9">
        <v>0</v>
      </c>
      <c r="D36" s="9">
        <v>2811459.33</v>
      </c>
      <c r="E36" s="9">
        <v>73313.13</v>
      </c>
      <c r="F36" s="9">
        <v>0</v>
      </c>
      <c r="G36" s="9">
        <v>0</v>
      </c>
      <c r="H36" s="9">
        <v>0</v>
      </c>
      <c r="I36" s="9">
        <v>0</v>
      </c>
      <c r="J36" s="9">
        <f>D36-E36</f>
        <v>2738146.2</v>
      </c>
    </row>
    <row r="37" spans="1:10" ht="23.25">
      <c r="A37" s="8" t="s">
        <v>521</v>
      </c>
      <c r="B37" s="8"/>
      <c r="C37" s="9">
        <v>0</v>
      </c>
      <c r="D37" s="7">
        <v>0</v>
      </c>
      <c r="E37" s="9"/>
      <c r="F37" s="9"/>
      <c r="G37" s="9"/>
      <c r="H37" s="9"/>
      <c r="I37" s="9">
        <v>0</v>
      </c>
      <c r="J37" s="9">
        <v>0</v>
      </c>
    </row>
    <row r="38" spans="1:10" ht="23.25">
      <c r="A38" s="197" t="s">
        <v>134</v>
      </c>
      <c r="B38" s="197"/>
      <c r="C38" s="10">
        <v>0</v>
      </c>
      <c r="D38" s="7">
        <v>1120993.76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f>D38</f>
        <v>1120993.76</v>
      </c>
    </row>
    <row r="39" spans="1:10" ht="23.25">
      <c r="A39" s="179" t="s">
        <v>61</v>
      </c>
      <c r="B39" s="35"/>
      <c r="C39" s="35">
        <f>SUM(C26:C38)</f>
        <v>62835275.74999999</v>
      </c>
      <c r="D39" s="35">
        <f>SUM(D31:D38)</f>
        <v>62835275.75</v>
      </c>
      <c r="E39" s="35">
        <f aca="true" t="shared" si="2" ref="E39:J39">SUM(E26:E38)</f>
        <v>1850381.0699999998</v>
      </c>
      <c r="F39" s="35">
        <f t="shared" si="2"/>
        <v>1850381.0675</v>
      </c>
      <c r="G39" s="35">
        <f t="shared" si="2"/>
        <v>41888241.64</v>
      </c>
      <c r="H39" s="35">
        <f t="shared" si="2"/>
        <v>41888241.63999999</v>
      </c>
      <c r="I39" s="35">
        <f t="shared" si="2"/>
        <v>28033698.240000002</v>
      </c>
      <c r="J39" s="35">
        <f t="shared" si="2"/>
        <v>28033698.2375</v>
      </c>
    </row>
    <row r="40" spans="1:10" ht="23.25">
      <c r="A40" s="324"/>
      <c r="B40" s="188"/>
      <c r="C40" s="188"/>
      <c r="D40" s="188"/>
      <c r="E40" s="188"/>
      <c r="F40" s="188"/>
      <c r="G40" s="188"/>
      <c r="H40" s="188"/>
      <c r="I40" s="188"/>
      <c r="J40" s="188"/>
    </row>
    <row r="41" spans="3:10" ht="15" customHeight="1">
      <c r="C41" s="109"/>
      <c r="D41" s="109"/>
      <c r="F41" s="109"/>
      <c r="H41" s="12"/>
      <c r="I41" s="192"/>
      <c r="J41" s="109"/>
    </row>
    <row r="42" spans="1:10" ht="23.25">
      <c r="A42" s="370"/>
      <c r="B42" s="370"/>
      <c r="C42" s="370"/>
      <c r="D42" s="12"/>
      <c r="F42" s="12"/>
      <c r="G42" s="5"/>
      <c r="H42" s="5"/>
      <c r="I42" s="5"/>
      <c r="J42" s="5"/>
    </row>
    <row r="43" spans="1:10" ht="23.25">
      <c r="A43" s="370"/>
      <c r="B43" s="370"/>
      <c r="C43" s="370"/>
      <c r="D43" s="12"/>
      <c r="F43" s="12"/>
      <c r="G43" s="5"/>
      <c r="H43" s="5"/>
      <c r="I43" s="5"/>
      <c r="J43" s="5"/>
    </row>
    <row r="44" spans="1:10" ht="23.25">
      <c r="A44" s="370"/>
      <c r="B44" s="370"/>
      <c r="C44" s="370"/>
      <c r="D44" s="199"/>
      <c r="E44" s="199"/>
      <c r="F44" s="199"/>
      <c r="G44" s="5"/>
      <c r="H44" s="5"/>
      <c r="I44" s="5"/>
      <c r="J44" s="5"/>
    </row>
    <row r="45" spans="1:10" ht="23.25">
      <c r="A45" s="199"/>
      <c r="B45" s="199"/>
      <c r="C45" s="199"/>
      <c r="D45" s="199"/>
      <c r="E45" s="199"/>
      <c r="F45" s="199"/>
      <c r="G45" s="5"/>
      <c r="H45" s="5"/>
      <c r="I45" s="5"/>
      <c r="J45" s="5"/>
    </row>
    <row r="46" spans="1:10" ht="23.25">
      <c r="A46" s="370"/>
      <c r="B46" s="370"/>
      <c r="C46" s="370"/>
      <c r="D46" s="370"/>
      <c r="E46" s="370"/>
      <c r="F46" s="370"/>
      <c r="G46" s="370"/>
      <c r="H46" s="370"/>
      <c r="I46" s="370"/>
      <c r="J46" s="370"/>
    </row>
    <row r="50" spans="7:8" ht="23.25">
      <c r="G50" s="109"/>
      <c r="H50" s="109"/>
    </row>
  </sheetData>
  <mergeCells count="13">
    <mergeCell ref="A42:C42"/>
    <mergeCell ref="A43:C43"/>
    <mergeCell ref="A44:C44"/>
    <mergeCell ref="A46:J46"/>
    <mergeCell ref="A1:J1"/>
    <mergeCell ref="A2:J2"/>
    <mergeCell ref="A3:J3"/>
    <mergeCell ref="G5:H5"/>
    <mergeCell ref="I5:J5"/>
    <mergeCell ref="A5:A6"/>
    <mergeCell ref="B5:B6"/>
    <mergeCell ref="C5:D5"/>
    <mergeCell ref="E5:F5"/>
  </mergeCells>
  <printOptions/>
  <pageMargins left="0.7" right="0" top="0.43" bottom="0.37" header="0.2362204724409449" footer="0.39"/>
  <pageSetup horizontalDpi="300" verticalDpi="300" orientation="landscape" paperSize="5" r:id="rId2"/>
  <headerFooter alignWithMargins="0">
    <oddHeader>&amp;Rหน้าที่ &amp;P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61"/>
  <sheetViews>
    <sheetView showGridLines="0" zoomScale="75" zoomScaleNormal="75" workbookViewId="0" topLeftCell="A1">
      <selection activeCell="G42" sqref="G42"/>
    </sheetView>
  </sheetViews>
  <sheetFormatPr defaultColWidth="9.140625" defaultRowHeight="21.75"/>
  <cols>
    <col min="1" max="1" width="43.8515625" style="157" customWidth="1"/>
    <col min="2" max="2" width="15.00390625" style="158" customWidth="1"/>
    <col min="3" max="3" width="14.140625" style="158" customWidth="1"/>
    <col min="4" max="4" width="12.140625" style="133" customWidth="1"/>
    <col min="5" max="5" width="13.140625" style="158" customWidth="1"/>
    <col min="6" max="6" width="14.8515625" style="158" customWidth="1"/>
    <col min="7" max="7" width="15.421875" style="133" customWidth="1"/>
    <col min="8" max="8" width="15.140625" style="158" customWidth="1"/>
    <col min="9" max="9" width="14.140625" style="133" customWidth="1"/>
    <col min="10" max="10" width="13.57421875" style="133" customWidth="1"/>
    <col min="11" max="11" width="14.28125" style="133" customWidth="1"/>
    <col min="12" max="13" width="9.140625" style="133" customWidth="1"/>
    <col min="14" max="14" width="19.421875" style="133" customWidth="1"/>
    <col min="15" max="16384" width="9.140625" style="133" customWidth="1"/>
  </cols>
  <sheetData>
    <row r="1" spans="1:11" ht="21">
      <c r="A1" s="404" t="s">
        <v>135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</row>
    <row r="2" spans="1:11" ht="21">
      <c r="A2" s="404" t="s">
        <v>370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ht="21">
      <c r="A3" s="407" t="s">
        <v>566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21">
      <c r="A4" s="134" t="s">
        <v>136</v>
      </c>
      <c r="B4" s="408" t="s">
        <v>371</v>
      </c>
      <c r="C4" s="408"/>
      <c r="D4" s="234" t="s">
        <v>567</v>
      </c>
      <c r="E4" s="239" t="s">
        <v>568</v>
      </c>
      <c r="F4" s="239" t="s">
        <v>569</v>
      </c>
      <c r="G4" s="234" t="s">
        <v>570</v>
      </c>
      <c r="H4" s="239" t="s">
        <v>571</v>
      </c>
      <c r="I4" s="234" t="s">
        <v>572</v>
      </c>
      <c r="J4" s="234" t="s">
        <v>573</v>
      </c>
      <c r="K4" s="409" t="s">
        <v>61</v>
      </c>
    </row>
    <row r="5" spans="1:11" s="137" customFormat="1" ht="21.75" customHeight="1">
      <c r="A5" s="135" t="s">
        <v>137</v>
      </c>
      <c r="B5" s="136" t="s">
        <v>372</v>
      </c>
      <c r="C5" s="136" t="s">
        <v>138</v>
      </c>
      <c r="D5" s="136" t="s">
        <v>574</v>
      </c>
      <c r="E5" s="136" t="s">
        <v>575</v>
      </c>
      <c r="F5" s="136" t="s">
        <v>576</v>
      </c>
      <c r="G5" s="136" t="s">
        <v>577</v>
      </c>
      <c r="H5" s="136" t="s">
        <v>578</v>
      </c>
      <c r="I5" s="136" t="s">
        <v>579</v>
      </c>
      <c r="J5" s="136" t="s">
        <v>139</v>
      </c>
      <c r="K5" s="410"/>
    </row>
    <row r="6" spans="1:11" ht="21">
      <c r="A6" s="138" t="s">
        <v>140</v>
      </c>
      <c r="B6" s="139"/>
      <c r="C6" s="139"/>
      <c r="D6" s="139"/>
      <c r="E6" s="139"/>
      <c r="F6" s="139"/>
      <c r="G6" s="139"/>
      <c r="H6" s="139"/>
      <c r="I6" s="139"/>
      <c r="J6" s="139"/>
      <c r="K6" s="140"/>
    </row>
    <row r="7" spans="1:11" ht="21">
      <c r="A7" s="152" t="s">
        <v>580</v>
      </c>
      <c r="B7" s="139"/>
      <c r="C7" s="139"/>
      <c r="D7" s="139"/>
      <c r="E7" s="139"/>
      <c r="F7" s="139"/>
      <c r="G7" s="139"/>
      <c r="H7" s="139"/>
      <c r="I7" s="139"/>
      <c r="J7" s="139">
        <v>12576</v>
      </c>
      <c r="K7" s="140">
        <f>SUM(J7)</f>
        <v>12576</v>
      </c>
    </row>
    <row r="8" spans="1:11" ht="21">
      <c r="A8" s="240" t="s">
        <v>581</v>
      </c>
      <c r="B8" s="139"/>
      <c r="C8" s="139"/>
      <c r="D8" s="139"/>
      <c r="E8" s="139"/>
      <c r="F8" s="139"/>
      <c r="G8" s="139"/>
      <c r="H8" s="139"/>
      <c r="I8" s="139"/>
      <c r="J8" s="139">
        <f>1800+50000+98868+13600+10785.6</f>
        <v>175053.6</v>
      </c>
      <c r="K8" s="140">
        <f>SUM(J8:J8)</f>
        <v>175053.6</v>
      </c>
    </row>
    <row r="9" spans="1:11" ht="21">
      <c r="A9" s="152" t="s">
        <v>582</v>
      </c>
      <c r="B9" s="139"/>
      <c r="C9" s="139"/>
      <c r="D9" s="139"/>
      <c r="E9" s="139"/>
      <c r="F9" s="139"/>
      <c r="G9" s="139"/>
      <c r="H9" s="139"/>
      <c r="I9" s="139"/>
      <c r="J9" s="139"/>
      <c r="K9" s="140">
        <f>SUM(J9)</f>
        <v>0</v>
      </c>
    </row>
    <row r="10" spans="1:11" ht="21">
      <c r="A10" s="144" t="s">
        <v>141</v>
      </c>
      <c r="B10" s="145">
        <f>SUM(B6:B9)</f>
        <v>0</v>
      </c>
      <c r="C10" s="145"/>
      <c r="D10" s="145"/>
      <c r="E10" s="145"/>
      <c r="F10" s="145"/>
      <c r="G10" s="145"/>
      <c r="H10" s="145"/>
      <c r="I10" s="145"/>
      <c r="J10" s="145">
        <f>SUM(J7:J9)</f>
        <v>187629.6</v>
      </c>
      <c r="K10" s="146">
        <f>SUM(K7:K9)</f>
        <v>187629.6</v>
      </c>
    </row>
    <row r="11" spans="1:11" ht="21">
      <c r="A11" s="144" t="s">
        <v>142</v>
      </c>
      <c r="B11" s="145">
        <v>0</v>
      </c>
      <c r="C11" s="145"/>
      <c r="D11" s="145"/>
      <c r="E11" s="145"/>
      <c r="F11" s="145"/>
      <c r="G11" s="145"/>
      <c r="H11" s="145"/>
      <c r="I11" s="145"/>
      <c r="J11" s="145">
        <f>63220+288210+700000+321636+543272+37000+20978+127233.6+187629.6</f>
        <v>2289179.2</v>
      </c>
      <c r="K11" s="146">
        <f>SUM(B11:J11)</f>
        <v>2289179.2</v>
      </c>
    </row>
    <row r="12" spans="1:11" ht="21">
      <c r="A12" s="147" t="s">
        <v>30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9"/>
    </row>
    <row r="13" spans="1:12" ht="21">
      <c r="A13" s="152" t="s">
        <v>373</v>
      </c>
      <c r="B13" s="139">
        <f>160270+14090+5600+26100+6300</f>
        <v>212360</v>
      </c>
      <c r="C13" s="139">
        <f>41180+4500</f>
        <v>45680</v>
      </c>
      <c r="D13" s="139"/>
      <c r="E13" s="139">
        <v>0</v>
      </c>
      <c r="F13" s="139">
        <f>36290+1550</f>
        <v>37840</v>
      </c>
      <c r="G13" s="139"/>
      <c r="H13" s="139">
        <f>57630+1500</f>
        <v>59130</v>
      </c>
      <c r="I13" s="139"/>
      <c r="J13" s="139"/>
      <c r="K13" s="140">
        <f>SUM(B13:J13)</f>
        <v>355010</v>
      </c>
      <c r="L13" s="150"/>
    </row>
    <row r="14" spans="1:11" ht="21">
      <c r="A14" s="144" t="s">
        <v>141</v>
      </c>
      <c r="B14" s="145">
        <f>SUM(B8:B13)</f>
        <v>212360</v>
      </c>
      <c r="C14" s="145">
        <f>SUM(C8:C13)</f>
        <v>45680</v>
      </c>
      <c r="D14" s="145"/>
      <c r="E14" s="145">
        <f>SUM(E8:E13)</f>
        <v>0</v>
      </c>
      <c r="F14" s="145">
        <f>SUM(F8:F13)</f>
        <v>37840</v>
      </c>
      <c r="G14" s="145"/>
      <c r="H14" s="145">
        <f>SUM(H8:H13)</f>
        <v>59130</v>
      </c>
      <c r="I14" s="145"/>
      <c r="J14" s="145"/>
      <c r="K14" s="146">
        <f>SUM(K8:K13)</f>
        <v>3006872.4000000004</v>
      </c>
    </row>
    <row r="15" spans="1:11" ht="21">
      <c r="A15" s="144" t="s">
        <v>142</v>
      </c>
      <c r="B15" s="145">
        <f>192198.1+184251+184111+206110+198870+198660+201970+201970+201970+201970+201970+212360</f>
        <v>2386410.1</v>
      </c>
      <c r="C15" s="145">
        <f>54230+54230+54230+54230+55070+54440+56498+56070+56070+56070+56070+45680</f>
        <v>652888</v>
      </c>
      <c r="D15" s="145"/>
      <c r="E15" s="145">
        <f>11700+11700+11700+11700+11700+11700+11700</f>
        <v>81900</v>
      </c>
      <c r="F15" s="145">
        <f>37230+37230+37230+37230+37230+37230+37840+37840+37840+37840+37840+37840</f>
        <v>450420</v>
      </c>
      <c r="G15" s="145"/>
      <c r="H15" s="145">
        <f>56497+56497+56497+56497+56497+56497+60493.83+58890+58890+58890+59850+59130</f>
        <v>695125.8300000001</v>
      </c>
      <c r="I15" s="145"/>
      <c r="J15" s="145"/>
      <c r="K15" s="146">
        <f>SUM(B15:J15)</f>
        <v>4266743.93</v>
      </c>
    </row>
    <row r="16" spans="1:12" ht="21">
      <c r="A16" s="241" t="s">
        <v>339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40"/>
      <c r="L16" s="150"/>
    </row>
    <row r="17" spans="1:11" ht="21">
      <c r="A17" s="141" t="s">
        <v>374</v>
      </c>
      <c r="B17" s="142">
        <f>16400+45960</f>
        <v>62360</v>
      </c>
      <c r="C17" s="142">
        <v>32800</v>
      </c>
      <c r="D17" s="142"/>
      <c r="E17" s="142">
        <v>17640</v>
      </c>
      <c r="F17" s="142">
        <v>74000</v>
      </c>
      <c r="G17" s="142"/>
      <c r="H17" s="142">
        <v>22980</v>
      </c>
      <c r="I17" s="142"/>
      <c r="J17" s="142"/>
      <c r="K17" s="143">
        <f>SUM(B17:J17)</f>
        <v>209780</v>
      </c>
    </row>
    <row r="18" spans="1:11" ht="21">
      <c r="A18" s="144" t="s">
        <v>141</v>
      </c>
      <c r="B18" s="145">
        <f>SUM(B16:B17)</f>
        <v>62360</v>
      </c>
      <c r="C18" s="145">
        <f>SUM(C17)</f>
        <v>32800</v>
      </c>
      <c r="D18" s="145"/>
      <c r="E18" s="145">
        <f>SUM(E17)</f>
        <v>17640</v>
      </c>
      <c r="F18" s="145">
        <f>SUM(F17)</f>
        <v>74000</v>
      </c>
      <c r="G18" s="145"/>
      <c r="H18" s="145">
        <f>SUM(H17)</f>
        <v>22980</v>
      </c>
      <c r="I18" s="145"/>
      <c r="J18" s="145"/>
      <c r="K18" s="146">
        <f>SUM(K17)</f>
        <v>209780</v>
      </c>
    </row>
    <row r="19" spans="1:11" ht="21">
      <c r="A19" s="144" t="s">
        <v>142</v>
      </c>
      <c r="B19" s="145">
        <f>62360+62360+62360+62360+62360+62360+62360+62360+62360+62360+62360+62360</f>
        <v>748320</v>
      </c>
      <c r="C19" s="145">
        <f>32800+32800+32800+32800+32800+32800+32800+32800+32800+32800+32800+32800</f>
        <v>393600</v>
      </c>
      <c r="D19" s="145"/>
      <c r="E19" s="145">
        <f>16400+16400+16400+18880+17640+17640+17640+17640+17640+17640+17640+17640</f>
        <v>209200</v>
      </c>
      <c r="F19" s="145">
        <f>80580+80580+80580+80580+80580+80580+80580+80580+74000+74000+74000+74000</f>
        <v>940640</v>
      </c>
      <c r="G19" s="145"/>
      <c r="H19" s="145">
        <f>16400+16400+22480+23480+22980+22980+22980+22980+22980+22980+22980+22980</f>
        <v>262600</v>
      </c>
      <c r="I19" s="145"/>
      <c r="J19" s="145"/>
      <c r="K19" s="146">
        <f>SUM(B19:J19)</f>
        <v>2554360</v>
      </c>
    </row>
    <row r="20" spans="1:12" ht="21">
      <c r="A20" s="147" t="s">
        <v>31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9"/>
      <c r="L20" s="151"/>
    </row>
    <row r="21" spans="1:12" ht="21">
      <c r="A21" s="152" t="s">
        <v>475</v>
      </c>
      <c r="B21" s="139">
        <v>132860</v>
      </c>
      <c r="C21" s="139"/>
      <c r="D21" s="139"/>
      <c r="E21" s="139"/>
      <c r="F21" s="139"/>
      <c r="G21" s="139"/>
      <c r="H21" s="139"/>
      <c r="I21" s="139"/>
      <c r="J21" s="139"/>
      <c r="K21" s="140">
        <f aca="true" t="shared" si="0" ref="K21:K27">SUM(B21:J21)</f>
        <v>132860</v>
      </c>
      <c r="L21" s="151"/>
    </row>
    <row r="22" spans="1:12" ht="21">
      <c r="A22" s="152" t="s">
        <v>476</v>
      </c>
      <c r="B22" s="139"/>
      <c r="C22" s="139"/>
      <c r="D22" s="139"/>
      <c r="E22" s="139"/>
      <c r="F22" s="139">
        <v>3240</v>
      </c>
      <c r="G22" s="139"/>
      <c r="H22" s="139">
        <f>15060+1250</f>
        <v>16310</v>
      </c>
      <c r="I22" s="139"/>
      <c r="J22" s="139"/>
      <c r="K22" s="140">
        <f t="shared" si="0"/>
        <v>19550</v>
      </c>
      <c r="L22" s="151"/>
    </row>
    <row r="23" spans="1:12" ht="21">
      <c r="A23" s="152" t="s">
        <v>477</v>
      </c>
      <c r="B23" s="139">
        <f>9400+4600</f>
        <v>14000</v>
      </c>
      <c r="C23" s="139"/>
      <c r="D23" s="139"/>
      <c r="E23" s="139"/>
      <c r="F23" s="139"/>
      <c r="G23" s="139"/>
      <c r="H23" s="139"/>
      <c r="I23" s="139"/>
      <c r="J23" s="139"/>
      <c r="K23" s="140">
        <f t="shared" si="0"/>
        <v>14000</v>
      </c>
      <c r="L23" s="151"/>
    </row>
    <row r="24" spans="1:12" ht="21">
      <c r="A24" s="152" t="s">
        <v>478</v>
      </c>
      <c r="B24" s="139"/>
      <c r="C24" s="139"/>
      <c r="D24" s="139"/>
      <c r="E24" s="139">
        <v>17500</v>
      </c>
      <c r="F24" s="139">
        <v>12000</v>
      </c>
      <c r="G24" s="139"/>
      <c r="H24" s="139"/>
      <c r="I24" s="139"/>
      <c r="J24" s="139"/>
      <c r="K24" s="140">
        <f t="shared" si="0"/>
        <v>29500</v>
      </c>
      <c r="L24" s="151"/>
    </row>
    <row r="25" spans="1:12" ht="21">
      <c r="A25" s="202" t="s">
        <v>479</v>
      </c>
      <c r="B25" s="139">
        <v>8600</v>
      </c>
      <c r="C25" s="139">
        <v>1000</v>
      </c>
      <c r="D25" s="139"/>
      <c r="E25" s="139"/>
      <c r="F25" s="139">
        <v>4000</v>
      </c>
      <c r="G25" s="139"/>
      <c r="H25" s="139">
        <v>1950</v>
      </c>
      <c r="I25" s="139"/>
      <c r="J25" s="139"/>
      <c r="K25" s="140">
        <f t="shared" si="0"/>
        <v>15550</v>
      </c>
      <c r="L25" s="151"/>
    </row>
    <row r="26" spans="1:12" ht="21">
      <c r="A26" s="152" t="s">
        <v>480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40">
        <f t="shared" si="0"/>
        <v>0</v>
      </c>
      <c r="L26" s="151"/>
    </row>
    <row r="27" spans="1:12" ht="21">
      <c r="A27" s="152" t="s">
        <v>481</v>
      </c>
      <c r="B27" s="139">
        <f>1477+3092+2210</f>
        <v>6779</v>
      </c>
      <c r="C27" s="139">
        <v>500</v>
      </c>
      <c r="D27" s="139"/>
      <c r="E27" s="139"/>
      <c r="F27" s="139">
        <v>768</v>
      </c>
      <c r="G27" s="139"/>
      <c r="H27" s="139"/>
      <c r="I27" s="139"/>
      <c r="J27" s="139"/>
      <c r="K27" s="140">
        <f t="shared" si="0"/>
        <v>8047</v>
      </c>
      <c r="L27" s="151"/>
    </row>
    <row r="28" spans="1:11" ht="21">
      <c r="A28" s="154" t="s">
        <v>141</v>
      </c>
      <c r="B28" s="155">
        <f>SUM(B21:B27)</f>
        <v>162239</v>
      </c>
      <c r="C28" s="155">
        <f>SUM(C21:C27)</f>
        <v>1500</v>
      </c>
      <c r="D28" s="155"/>
      <c r="E28" s="155">
        <f>SUM(E21:E27)</f>
        <v>17500</v>
      </c>
      <c r="F28" s="155">
        <f>SUM(F21:F27)</f>
        <v>20008</v>
      </c>
      <c r="G28" s="155"/>
      <c r="H28" s="155">
        <f>SUM(H21:H27)</f>
        <v>18260</v>
      </c>
      <c r="I28" s="155"/>
      <c r="J28" s="155"/>
      <c r="K28" s="156">
        <f>SUM(K21:K27)</f>
        <v>219507</v>
      </c>
    </row>
    <row r="29" spans="1:11" ht="21">
      <c r="A29" s="316" t="s">
        <v>142</v>
      </c>
      <c r="B29" s="311">
        <f>327682.19+158558+308159+159467+150663+174062+156956+166549+183821+148418+188568+162239</f>
        <v>2285142.19</v>
      </c>
      <c r="C29" s="311">
        <f>6428+2995+7900+4558+2600+4165+14213+2600+4320+4290+4960+1500</f>
        <v>60529</v>
      </c>
      <c r="D29" s="311"/>
      <c r="E29" s="311">
        <f>2752+330+10724+900+17500</f>
        <v>32206</v>
      </c>
      <c r="F29" s="311">
        <f>4630+11885+14400+11400+8200+4000+24635+11200+4730+18080+6700+20008</f>
        <v>139868</v>
      </c>
      <c r="G29" s="311"/>
      <c r="H29" s="311">
        <f>1950+9225+1950+11530+1950+1950+1950+3652+4950+4850-900+5900+18260</f>
        <v>67217</v>
      </c>
      <c r="I29" s="311"/>
      <c r="J29" s="317"/>
      <c r="K29" s="312">
        <f>SUM(B29:J29)</f>
        <v>2584962.19</v>
      </c>
    </row>
    <row r="30" spans="1:13" ht="21">
      <c r="A30" s="138" t="s">
        <v>32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40"/>
      <c r="L30" s="151"/>
      <c r="M30" s="151"/>
    </row>
    <row r="31" spans="1:13" ht="21">
      <c r="A31" s="152" t="s">
        <v>375</v>
      </c>
      <c r="B31" s="139">
        <f>400+2072+2184+912+2000+440+24000</f>
        <v>32008</v>
      </c>
      <c r="C31" s="139"/>
      <c r="D31" s="139"/>
      <c r="E31" s="139">
        <v>3600</v>
      </c>
      <c r="F31" s="139">
        <v>22500</v>
      </c>
      <c r="G31" s="139"/>
      <c r="H31" s="139">
        <f>20000+19000+44100</f>
        <v>83100</v>
      </c>
      <c r="I31" s="139"/>
      <c r="J31" s="139"/>
      <c r="K31" s="140">
        <f>SUM(B31:J31)</f>
        <v>141208</v>
      </c>
      <c r="L31" s="151"/>
      <c r="M31" s="151"/>
    </row>
    <row r="32" spans="1:13" ht="21">
      <c r="A32" s="152" t="s">
        <v>143</v>
      </c>
      <c r="B32" s="139">
        <f>3300+14000+12000+407+6500+6500</f>
        <v>42707</v>
      </c>
      <c r="C32" s="139">
        <f>22598.4+660</f>
        <v>23258.4</v>
      </c>
      <c r="D32" s="139"/>
      <c r="E32" s="139">
        <f>1070+11200</f>
        <v>12270</v>
      </c>
      <c r="F32" s="139">
        <f>11480+26560</f>
        <v>38040</v>
      </c>
      <c r="G32" s="139"/>
      <c r="H32" s="139">
        <f>2568+3010+3800+87900+25000+95230+40400</f>
        <v>257908</v>
      </c>
      <c r="I32" s="139"/>
      <c r="J32" s="139"/>
      <c r="K32" s="140">
        <f>SUM(B32:J32)</f>
        <v>374183.4</v>
      </c>
      <c r="L32" s="151"/>
      <c r="M32" s="151"/>
    </row>
    <row r="33" spans="1:13" ht="21">
      <c r="A33" s="152" t="s">
        <v>482</v>
      </c>
      <c r="B33" s="139">
        <f>2100+2500+44000</f>
        <v>48600</v>
      </c>
      <c r="C33" s="139"/>
      <c r="D33" s="139"/>
      <c r="E33" s="139"/>
      <c r="F33" s="242">
        <f>19980+36000+3400+400+374+7500+3125+2500+1600+1120+6000+6000+1040+9000+133500</f>
        <v>231539</v>
      </c>
      <c r="G33" s="242">
        <f>171000+99500</f>
        <v>270500</v>
      </c>
      <c r="H33" s="139"/>
      <c r="I33" s="139">
        <f>1200+47080+550+660+468</f>
        <v>49958</v>
      </c>
      <c r="J33" s="139"/>
      <c r="K33" s="140">
        <f>SUM(B33:J33)</f>
        <v>600597</v>
      </c>
      <c r="L33" s="151"/>
      <c r="M33" s="151"/>
    </row>
    <row r="34" spans="1:13" ht="21">
      <c r="A34" s="152" t="s">
        <v>483</v>
      </c>
      <c r="B34" s="139">
        <f>109000+2710+8500+2346</f>
        <v>122556</v>
      </c>
      <c r="C34" s="139"/>
      <c r="D34" s="139"/>
      <c r="E34" s="139">
        <f>6000+5000+5000+2400+2366+8235+142370</f>
        <v>171371</v>
      </c>
      <c r="F34" s="139"/>
      <c r="G34" s="139"/>
      <c r="H34" s="139"/>
      <c r="I34" s="139"/>
      <c r="J34" s="139"/>
      <c r="K34" s="140">
        <f>SUM(B34:J34)</f>
        <v>293927</v>
      </c>
      <c r="L34" s="151"/>
      <c r="M34" s="151"/>
    </row>
    <row r="35" spans="1:13" ht="21">
      <c r="A35" s="152" t="s">
        <v>583</v>
      </c>
      <c r="B35" s="243"/>
      <c r="C35" s="139"/>
      <c r="D35" s="139"/>
      <c r="E35" s="139"/>
      <c r="F35" s="139">
        <v>19173</v>
      </c>
      <c r="G35" s="244"/>
      <c r="H35" s="139"/>
      <c r="I35" s="139"/>
      <c r="J35" s="244"/>
      <c r="K35" s="140">
        <f>SUM(B35:J35)</f>
        <v>19173</v>
      </c>
      <c r="L35" s="151"/>
      <c r="M35" s="151"/>
    </row>
    <row r="36" spans="1:14" ht="21">
      <c r="A36" s="144" t="s">
        <v>141</v>
      </c>
      <c r="B36" s="145">
        <f>SUM(B31:B35)</f>
        <v>245871</v>
      </c>
      <c r="C36" s="145">
        <f>SUM(C31:C35)</f>
        <v>23258.4</v>
      </c>
      <c r="D36" s="145"/>
      <c r="E36" s="145">
        <f>SUM(E31:E35)</f>
        <v>187241</v>
      </c>
      <c r="F36" s="145">
        <f>SUM(F31:F35)</f>
        <v>311252</v>
      </c>
      <c r="G36" s="145">
        <f>SUM(G30:G35)</f>
        <v>270500</v>
      </c>
      <c r="H36" s="145">
        <f>SUM(H31:H35)</f>
        <v>341008</v>
      </c>
      <c r="I36" s="145">
        <f>SUM(I31:I35)</f>
        <v>49958</v>
      </c>
      <c r="J36" s="145"/>
      <c r="K36" s="146">
        <f>SUM(K31:K35)</f>
        <v>1429088.4</v>
      </c>
      <c r="N36" s="150"/>
    </row>
    <row r="37" spans="1:14" ht="21">
      <c r="A37" s="144" t="s">
        <v>142</v>
      </c>
      <c r="B37" s="145">
        <f>12250+28584.19+59090+86660-11100+86300+725631+12071+347724+201498+747149+299276-36+245871</f>
        <v>2840968.19</v>
      </c>
      <c r="C37" s="145">
        <f>27775.36+5730+30790+22725+800+23232+23258.4</f>
        <v>134310.76</v>
      </c>
      <c r="D37" s="145">
        <f>11100</f>
        <v>11100</v>
      </c>
      <c r="E37" s="145">
        <f>850+11000+10000+70260+11800+67325+103715+137630+97786+28585+2960+187241</f>
        <v>729152</v>
      </c>
      <c r="F37" s="145">
        <f>17572+31634+43860+18324+21205+108900+169698+20576+62648+11890+109784+311252</f>
        <v>927343</v>
      </c>
      <c r="G37" s="145">
        <f>40500+40500+40500+40500+40500+708000+136632+62000+62000+673000+270500</f>
        <v>2114632</v>
      </c>
      <c r="H37" s="145">
        <f>49631+24950+1200+60546.17+103290+158318.5+99650+128700+157000+48500+341008</f>
        <v>1172793.67</v>
      </c>
      <c r="I37" s="145">
        <f>56200+132196+49958</f>
        <v>238354</v>
      </c>
      <c r="J37" s="145"/>
      <c r="K37" s="146">
        <f>SUM(B37:J37)</f>
        <v>8168653.62</v>
      </c>
      <c r="N37" s="150"/>
    </row>
    <row r="38" spans="1:14" ht="21">
      <c r="A38" s="147" t="s">
        <v>33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9"/>
      <c r="L38" s="151"/>
      <c r="M38" s="151"/>
      <c r="N38" s="150"/>
    </row>
    <row r="39" spans="1:13" ht="21">
      <c r="A39" s="152" t="s">
        <v>144</v>
      </c>
      <c r="B39" s="139">
        <f>5350+4680</f>
        <v>10030</v>
      </c>
      <c r="C39" s="139">
        <v>6234</v>
      </c>
      <c r="D39" s="139"/>
      <c r="E39" s="139"/>
      <c r="F39" s="139"/>
      <c r="G39" s="139"/>
      <c r="H39" s="139"/>
      <c r="I39" s="139"/>
      <c r="J39" s="139"/>
      <c r="K39" s="140">
        <f aca="true" t="shared" si="1" ref="K39:K53">SUM(B39:J39)</f>
        <v>16264</v>
      </c>
      <c r="L39" s="151"/>
      <c r="M39" s="151"/>
    </row>
    <row r="40" spans="1:13" ht="21">
      <c r="A40" s="152" t="s">
        <v>584</v>
      </c>
      <c r="B40" s="139">
        <f>540+16056</f>
        <v>16596</v>
      </c>
      <c r="C40" s="139"/>
      <c r="D40" s="139"/>
      <c r="E40" s="139">
        <v>1000</v>
      </c>
      <c r="F40" s="139"/>
      <c r="G40" s="139"/>
      <c r="H40" s="139">
        <v>18758</v>
      </c>
      <c r="I40" s="139"/>
      <c r="J40" s="139"/>
      <c r="K40" s="140">
        <f>SUM(B40:J40)</f>
        <v>36354</v>
      </c>
      <c r="L40" s="151"/>
      <c r="M40" s="151"/>
    </row>
    <row r="41" spans="1:13" ht="21">
      <c r="A41" s="152" t="s">
        <v>145</v>
      </c>
      <c r="B41" s="139">
        <v>10000</v>
      </c>
      <c r="C41" s="139"/>
      <c r="D41" s="139"/>
      <c r="E41" s="139">
        <v>8900</v>
      </c>
      <c r="F41" s="139">
        <v>24500</v>
      </c>
      <c r="G41" s="139"/>
      <c r="H41" s="139"/>
      <c r="I41" s="139"/>
      <c r="J41" s="139"/>
      <c r="K41" s="140">
        <f t="shared" si="1"/>
        <v>43400</v>
      </c>
      <c r="L41" s="151"/>
      <c r="M41" s="151"/>
    </row>
    <row r="42" spans="1:13" ht="21">
      <c r="A42" s="152" t="s">
        <v>146</v>
      </c>
      <c r="B42" s="139">
        <v>8398</v>
      </c>
      <c r="C42" s="139"/>
      <c r="D42" s="139"/>
      <c r="E42" s="139"/>
      <c r="F42" s="139"/>
      <c r="G42" s="139"/>
      <c r="H42" s="139">
        <f>7540+15074</f>
        <v>22614</v>
      </c>
      <c r="I42" s="139"/>
      <c r="J42" s="139"/>
      <c r="K42" s="140">
        <f t="shared" si="1"/>
        <v>31012</v>
      </c>
      <c r="L42" s="151"/>
      <c r="M42" s="151"/>
    </row>
    <row r="43" spans="1:13" ht="21">
      <c r="A43" s="152" t="s">
        <v>585</v>
      </c>
      <c r="B43" s="139"/>
      <c r="C43" s="139"/>
      <c r="D43" s="139"/>
      <c r="E43" s="139"/>
      <c r="F43" s="139">
        <v>2407.5</v>
      </c>
      <c r="G43" s="139"/>
      <c r="H43" s="139"/>
      <c r="I43" s="139"/>
      <c r="J43" s="139"/>
      <c r="K43" s="140">
        <f>SUM(B43:J43)</f>
        <v>2407.5</v>
      </c>
      <c r="L43" s="151"/>
      <c r="M43" s="151"/>
    </row>
    <row r="44" spans="1:13" ht="21">
      <c r="A44" s="152" t="s">
        <v>147</v>
      </c>
      <c r="B44" s="139">
        <f>16111.2+13287</f>
        <v>29398.2</v>
      </c>
      <c r="C44" s="139">
        <f>3472.08+4857.64</f>
        <v>8329.720000000001</v>
      </c>
      <c r="D44" s="139"/>
      <c r="E44" s="139"/>
      <c r="F44" s="139">
        <f>55224.2+2782+43997.8</f>
        <v>102004</v>
      </c>
      <c r="G44" s="139"/>
      <c r="H44" s="139">
        <f>3178.4+6284.8</f>
        <v>9463.2</v>
      </c>
      <c r="I44" s="139"/>
      <c r="J44" s="139"/>
      <c r="K44" s="140">
        <f t="shared" si="1"/>
        <v>149195.12</v>
      </c>
      <c r="L44" s="151"/>
      <c r="M44" s="151"/>
    </row>
    <row r="45" spans="1:13" ht="21">
      <c r="A45" s="152" t="s">
        <v>586</v>
      </c>
      <c r="B45" s="139"/>
      <c r="C45" s="139"/>
      <c r="D45" s="139"/>
      <c r="E45" s="139"/>
      <c r="F45" s="139">
        <v>10000</v>
      </c>
      <c r="G45" s="139"/>
      <c r="H45" s="139"/>
      <c r="I45" s="139"/>
      <c r="J45" s="139"/>
      <c r="K45" s="140">
        <f t="shared" si="1"/>
        <v>10000</v>
      </c>
      <c r="L45" s="151"/>
      <c r="M45" s="151"/>
    </row>
    <row r="46" spans="1:13" ht="21">
      <c r="A46" s="152" t="s">
        <v>587</v>
      </c>
      <c r="B46" s="139"/>
      <c r="C46" s="139"/>
      <c r="D46" s="139"/>
      <c r="E46" s="139"/>
      <c r="F46" s="139"/>
      <c r="G46" s="139"/>
      <c r="H46" s="139"/>
      <c r="I46" s="139">
        <v>13730</v>
      </c>
      <c r="J46" s="139"/>
      <c r="K46" s="140">
        <f>SUM(B46:J46)</f>
        <v>13730</v>
      </c>
      <c r="L46" s="151"/>
      <c r="M46" s="151"/>
    </row>
    <row r="47" spans="1:13" ht="21">
      <c r="A47" s="152" t="s">
        <v>588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40">
        <f>SUM(B47:J47)</f>
        <v>0</v>
      </c>
      <c r="L47" s="151"/>
      <c r="M47" s="151"/>
    </row>
    <row r="48" spans="1:13" ht="21">
      <c r="A48" s="152" t="s">
        <v>148</v>
      </c>
      <c r="B48" s="139"/>
      <c r="C48" s="139"/>
      <c r="D48" s="139"/>
      <c r="E48" s="139"/>
      <c r="F48" s="139">
        <v>6120</v>
      </c>
      <c r="G48" s="139"/>
      <c r="H48" s="139"/>
      <c r="I48" s="139"/>
      <c r="J48" s="139"/>
      <c r="K48" s="140">
        <f t="shared" si="1"/>
        <v>6120</v>
      </c>
      <c r="L48" s="151"/>
      <c r="M48" s="151"/>
    </row>
    <row r="49" spans="1:13" ht="21">
      <c r="A49" s="152" t="s">
        <v>589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40">
        <f t="shared" si="1"/>
        <v>0</v>
      </c>
      <c r="L49" s="151"/>
      <c r="M49" s="151"/>
    </row>
    <row r="50" spans="1:13" ht="21">
      <c r="A50" s="152" t="s">
        <v>457</v>
      </c>
      <c r="B50" s="139">
        <v>535</v>
      </c>
      <c r="C50" s="139">
        <v>17312.6</v>
      </c>
      <c r="D50" s="139"/>
      <c r="E50" s="139">
        <v>350</v>
      </c>
      <c r="F50" s="139"/>
      <c r="G50" s="139"/>
      <c r="H50" s="139"/>
      <c r="I50" s="139"/>
      <c r="J50" s="139"/>
      <c r="K50" s="140">
        <f t="shared" si="1"/>
        <v>18197.6</v>
      </c>
      <c r="L50" s="151"/>
      <c r="M50" s="151"/>
    </row>
    <row r="51" spans="1:13" ht="21">
      <c r="A51" s="152" t="s">
        <v>590</v>
      </c>
      <c r="B51" s="139"/>
      <c r="C51" s="139"/>
      <c r="D51" s="139"/>
      <c r="E51" s="139">
        <v>25000</v>
      </c>
      <c r="F51" s="139"/>
      <c r="G51" s="139"/>
      <c r="H51" s="139"/>
      <c r="I51" s="139"/>
      <c r="J51" s="139"/>
      <c r="K51" s="140">
        <f t="shared" si="1"/>
        <v>25000</v>
      </c>
      <c r="L51" s="151"/>
      <c r="M51" s="151"/>
    </row>
    <row r="52" spans="1:13" ht="21">
      <c r="A52" s="152" t="s">
        <v>591</v>
      </c>
      <c r="B52" s="139"/>
      <c r="C52" s="139"/>
      <c r="D52" s="139"/>
      <c r="E52" s="139">
        <f>206593.92+210226.2</f>
        <v>416820.12</v>
      </c>
      <c r="F52" s="139"/>
      <c r="G52" s="139"/>
      <c r="H52" s="139"/>
      <c r="I52" s="139"/>
      <c r="J52" s="139"/>
      <c r="K52" s="140">
        <f>SUM(B52:J52)</f>
        <v>416820.12</v>
      </c>
      <c r="L52" s="151"/>
      <c r="M52" s="151"/>
    </row>
    <row r="53" spans="1:13" ht="21">
      <c r="A53" s="141" t="s">
        <v>592</v>
      </c>
      <c r="B53" s="142"/>
      <c r="C53" s="142"/>
      <c r="D53" s="142"/>
      <c r="E53" s="142">
        <f>8000+11000</f>
        <v>19000</v>
      </c>
      <c r="F53" s="142"/>
      <c r="G53" s="142"/>
      <c r="H53" s="142"/>
      <c r="I53" s="142"/>
      <c r="J53" s="142"/>
      <c r="K53" s="143">
        <f t="shared" si="1"/>
        <v>19000</v>
      </c>
      <c r="L53" s="151"/>
      <c r="M53" s="151"/>
    </row>
    <row r="54" spans="1:11" ht="21">
      <c r="A54" s="144" t="s">
        <v>141</v>
      </c>
      <c r="B54" s="145">
        <f>SUM(B39:B53)</f>
        <v>74957.2</v>
      </c>
      <c r="C54" s="145">
        <f>SUM(C39:C53)</f>
        <v>31876.32</v>
      </c>
      <c r="D54" s="145"/>
      <c r="E54" s="145">
        <f>SUM(E39:E53)</f>
        <v>471070.12</v>
      </c>
      <c r="F54" s="145">
        <f>SUM(F39:F53)</f>
        <v>145031.5</v>
      </c>
      <c r="G54" s="145"/>
      <c r="H54" s="145">
        <f>SUM(H39:H53)</f>
        <v>50835.2</v>
      </c>
      <c r="I54" s="145">
        <f>SUM(I40:I53)</f>
        <v>13730</v>
      </c>
      <c r="J54" s="145"/>
      <c r="K54" s="146">
        <f>SUM(K39:K53)</f>
        <v>787500.34</v>
      </c>
    </row>
    <row r="55" spans="1:13" ht="21">
      <c r="A55" s="144" t="s">
        <v>142</v>
      </c>
      <c r="B55" s="145">
        <f>8437+14131.19+22203+10200+56233.3+20819+25543.6+44754+31243.2+23731.04-10200-4450+74957.2</f>
        <v>317602.53</v>
      </c>
      <c r="C55" s="145">
        <f>11120+22508.6+10214.65+5051.22+3500+3633.63+10475.04+2664.73+6207.6+13796.18+4217.38+31876.32</f>
        <v>125265.35</v>
      </c>
      <c r="D55" s="145"/>
      <c r="E55" s="145">
        <f>1800+182760.62+91831+17970+13200+9000+378177.53+25534+471070.12</f>
        <v>1191343.27</v>
      </c>
      <c r="F55" s="145">
        <f>90358.5+23731.6+69010.3+20028.6+36894.2+44663.6+64550.4+41844.4+80194.9+65641.8+145031.5</f>
        <v>681949.8</v>
      </c>
      <c r="G55" s="145"/>
      <c r="H55" s="145">
        <f>25483.1+5436.16+67299.9+29382.2+5588+66635.61+83776.4+91409.4+54207.8+27469.4+50835.2</f>
        <v>507523.17000000004</v>
      </c>
      <c r="I55" s="145">
        <f>10200+4450+13090+13730</f>
        <v>41470</v>
      </c>
      <c r="J55" s="145"/>
      <c r="K55" s="146">
        <f>SUM(B55:J55)</f>
        <v>2865154.12</v>
      </c>
      <c r="M55" s="150"/>
    </row>
    <row r="56" spans="1:12" ht="21">
      <c r="A56" s="245" t="s">
        <v>34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6"/>
      <c r="L56" s="151"/>
    </row>
    <row r="57" spans="1:12" ht="21">
      <c r="A57" s="313" t="s">
        <v>149</v>
      </c>
      <c r="B57" s="314"/>
      <c r="C57" s="314"/>
      <c r="D57" s="314"/>
      <c r="E57" s="314"/>
      <c r="F57" s="314"/>
      <c r="G57" s="314"/>
      <c r="H57" s="314"/>
      <c r="I57" s="314"/>
      <c r="J57" s="314"/>
      <c r="K57" s="315">
        <f>SUM(B57:J57)</f>
        <v>0</v>
      </c>
      <c r="L57" s="151"/>
    </row>
    <row r="58" spans="1:12" ht="21">
      <c r="A58" s="152" t="s">
        <v>150</v>
      </c>
      <c r="B58" s="139">
        <v>1686.32</v>
      </c>
      <c r="C58" s="139"/>
      <c r="D58" s="139"/>
      <c r="E58" s="139"/>
      <c r="F58" s="139"/>
      <c r="G58" s="139"/>
      <c r="H58" s="139"/>
      <c r="I58" s="139"/>
      <c r="J58" s="139"/>
      <c r="K58" s="140">
        <f>SUM(B58:J58)</f>
        <v>1686.32</v>
      </c>
      <c r="L58" s="151"/>
    </row>
    <row r="59" spans="1:12" ht="21">
      <c r="A59" s="152" t="s">
        <v>376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40">
        <f>SUM(B59:J59)</f>
        <v>0</v>
      </c>
      <c r="L59" s="151"/>
    </row>
    <row r="60" spans="1:12" ht="21">
      <c r="A60" s="141" t="s">
        <v>151</v>
      </c>
      <c r="B60" s="142">
        <f>2140+631.3</f>
        <v>2771.3</v>
      </c>
      <c r="C60" s="142"/>
      <c r="D60" s="142"/>
      <c r="E60" s="142"/>
      <c r="F60" s="142"/>
      <c r="G60" s="142"/>
      <c r="H60" s="142"/>
      <c r="I60" s="142"/>
      <c r="J60" s="142"/>
      <c r="K60" s="143">
        <f>SUM(B60:J60)</f>
        <v>2771.3</v>
      </c>
      <c r="L60" s="151"/>
    </row>
    <row r="61" spans="1:11" ht="21">
      <c r="A61" s="185" t="s">
        <v>141</v>
      </c>
      <c r="B61" s="142">
        <f>SUM(B57:B60)</f>
        <v>4457.62</v>
      </c>
      <c r="C61" s="142">
        <f>SUM(C57:C60)</f>
        <v>0</v>
      </c>
      <c r="D61" s="142"/>
      <c r="E61" s="142"/>
      <c r="F61" s="142">
        <f>SUM(F57:F60)</f>
        <v>0</v>
      </c>
      <c r="G61" s="142"/>
      <c r="H61" s="142"/>
      <c r="I61" s="142"/>
      <c r="J61" s="142"/>
      <c r="K61" s="143">
        <f>SUM(K57:K60)</f>
        <v>4457.62</v>
      </c>
    </row>
    <row r="62" spans="1:11" ht="21">
      <c r="A62" s="185" t="s">
        <v>142</v>
      </c>
      <c r="B62" s="142">
        <f>7655.85+14542.72+15123.51+9230.87+24791.39+1262.6+22248.06+25525.18+15432+25775.66+44093.72+4457.62</f>
        <v>210139.18</v>
      </c>
      <c r="C62" s="142">
        <f>325+1526.13+96.97+682+330+1276+778+827+598+1990</f>
        <v>8429.1</v>
      </c>
      <c r="D62" s="142"/>
      <c r="E62" s="142"/>
      <c r="F62" s="142"/>
      <c r="G62" s="142"/>
      <c r="H62" s="142"/>
      <c r="I62" s="142"/>
      <c r="J62" s="142"/>
      <c r="K62" s="143">
        <f>SUM(B62:J62)</f>
        <v>218568.28</v>
      </c>
    </row>
    <row r="63" spans="1:11" ht="21">
      <c r="A63" s="325" t="s">
        <v>17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9"/>
    </row>
    <row r="64" spans="1:12" ht="21">
      <c r="A64" s="141" t="s">
        <v>152</v>
      </c>
      <c r="B64" s="142"/>
      <c r="C64" s="142"/>
      <c r="D64" s="142"/>
      <c r="E64" s="142"/>
      <c r="F64" s="142"/>
      <c r="G64" s="142"/>
      <c r="H64" s="142">
        <v>298749.51</v>
      </c>
      <c r="I64" s="142"/>
      <c r="J64" s="142"/>
      <c r="K64" s="143">
        <f>SUM(B64:J64)</f>
        <v>298749.51</v>
      </c>
      <c r="L64" s="151"/>
    </row>
    <row r="65" spans="1:11" ht="21">
      <c r="A65" s="144" t="s">
        <v>141</v>
      </c>
      <c r="B65" s="145">
        <f>SUM(B64)</f>
        <v>0</v>
      </c>
      <c r="C65" s="145"/>
      <c r="D65" s="145"/>
      <c r="E65" s="145">
        <f>SUM(E64)</f>
        <v>0</v>
      </c>
      <c r="F65" s="145">
        <f>SUM(F64)</f>
        <v>0</v>
      </c>
      <c r="G65" s="145">
        <f>SUM(G64)</f>
        <v>0</v>
      </c>
      <c r="H65" s="145">
        <f>SUM(H64)</f>
        <v>298749.51</v>
      </c>
      <c r="I65" s="145"/>
      <c r="J65" s="145"/>
      <c r="K65" s="146">
        <f>SUM(K64)</f>
        <v>298749.51</v>
      </c>
    </row>
    <row r="66" spans="1:14" ht="21">
      <c r="A66" s="144" t="s">
        <v>142</v>
      </c>
      <c r="B66" s="145">
        <f>5000</f>
        <v>5000</v>
      </c>
      <c r="C66" s="145"/>
      <c r="D66" s="145"/>
      <c r="E66" s="145">
        <f>703200+254400</f>
        <v>957600</v>
      </c>
      <c r="F66" s="145">
        <f>30000+120000</f>
        <v>150000</v>
      </c>
      <c r="G66" s="145"/>
      <c r="H66" s="145">
        <f>249645.28+20000+298749.51</f>
        <v>568394.79</v>
      </c>
      <c r="I66" s="145"/>
      <c r="J66" s="145"/>
      <c r="K66" s="146">
        <f>SUM(B66:J66)</f>
        <v>1680994.79</v>
      </c>
      <c r="N66" s="150"/>
    </row>
    <row r="67" spans="1:14" ht="21">
      <c r="A67" s="325" t="s">
        <v>35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9"/>
      <c r="N67" s="150"/>
    </row>
    <row r="68" spans="1:12" ht="21">
      <c r="A68" s="141" t="s">
        <v>153</v>
      </c>
      <c r="B68" s="142"/>
      <c r="C68" s="142"/>
      <c r="D68" s="142"/>
      <c r="E68" s="142">
        <v>29960</v>
      </c>
      <c r="F68" s="142"/>
      <c r="G68" s="142"/>
      <c r="H68" s="142"/>
      <c r="I68" s="142"/>
      <c r="J68" s="142"/>
      <c r="K68" s="143">
        <f>SUM(B68:J68)</f>
        <v>29960</v>
      </c>
      <c r="L68" s="151"/>
    </row>
    <row r="69" spans="1:11" ht="21">
      <c r="A69" s="144" t="s">
        <v>141</v>
      </c>
      <c r="B69" s="145">
        <f>SUM(B68)</f>
        <v>0</v>
      </c>
      <c r="C69" s="145">
        <f>SUM(C68)</f>
        <v>0</v>
      </c>
      <c r="D69" s="145"/>
      <c r="E69" s="145">
        <f>SUM(E68)</f>
        <v>29960</v>
      </c>
      <c r="F69" s="145"/>
      <c r="G69" s="142"/>
      <c r="H69" s="142">
        <f>SUM(H68)</f>
        <v>0</v>
      </c>
      <c r="I69" s="142"/>
      <c r="J69" s="145"/>
      <c r="K69" s="143">
        <f>SUM(B69:J69)</f>
        <v>29960</v>
      </c>
    </row>
    <row r="70" spans="1:11" ht="21">
      <c r="A70" s="144" t="s">
        <v>142</v>
      </c>
      <c r="B70" s="145">
        <f>115200+6000</f>
        <v>121200</v>
      </c>
      <c r="C70" s="145"/>
      <c r="D70" s="145"/>
      <c r="E70" s="145">
        <v>29960</v>
      </c>
      <c r="F70" s="145"/>
      <c r="G70" s="145"/>
      <c r="H70" s="145"/>
      <c r="I70" s="145"/>
      <c r="J70" s="145"/>
      <c r="K70" s="146">
        <f>SUM(B70:J70)</f>
        <v>151160</v>
      </c>
    </row>
    <row r="71" spans="1:12" ht="21">
      <c r="A71" s="153" t="s">
        <v>36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9"/>
      <c r="L71" s="151"/>
    </row>
    <row r="72" spans="1:12" ht="21">
      <c r="A72" s="141" t="s">
        <v>154</v>
      </c>
      <c r="B72" s="142"/>
      <c r="C72" s="142"/>
      <c r="D72" s="142"/>
      <c r="E72" s="142"/>
      <c r="F72" s="142"/>
      <c r="G72" s="142"/>
      <c r="H72" s="142">
        <f>1770676+2332200</f>
        <v>4102876</v>
      </c>
      <c r="I72" s="142"/>
      <c r="J72" s="142"/>
      <c r="K72" s="143">
        <f>SUM(B72:J72)</f>
        <v>4102876</v>
      </c>
      <c r="L72" s="151"/>
    </row>
    <row r="73" spans="1:11" ht="21">
      <c r="A73" s="144" t="s">
        <v>141</v>
      </c>
      <c r="B73" s="145"/>
      <c r="C73" s="145"/>
      <c r="D73" s="145"/>
      <c r="E73" s="145"/>
      <c r="F73" s="145"/>
      <c r="G73" s="142"/>
      <c r="H73" s="142">
        <f>SUM(H72)</f>
        <v>4102876</v>
      </c>
      <c r="I73" s="142"/>
      <c r="J73" s="145"/>
      <c r="K73" s="146">
        <f>SUM(K72)</f>
        <v>4102876</v>
      </c>
    </row>
    <row r="74" spans="1:11" ht="21">
      <c r="A74" s="154" t="s">
        <v>142</v>
      </c>
      <c r="B74" s="155"/>
      <c r="C74" s="155"/>
      <c r="D74" s="155"/>
      <c r="E74" s="155"/>
      <c r="F74" s="155"/>
      <c r="G74" s="155"/>
      <c r="H74" s="155">
        <f>307425+731223+4102876</f>
        <v>5141524</v>
      </c>
      <c r="I74" s="155"/>
      <c r="J74" s="155"/>
      <c r="K74" s="156">
        <f>SUM(B74:J74)</f>
        <v>5141524</v>
      </c>
    </row>
    <row r="75" spans="1:11" ht="21">
      <c r="A75" s="246"/>
      <c r="B75" s="244"/>
      <c r="C75" s="244"/>
      <c r="D75" s="244"/>
      <c r="E75" s="244"/>
      <c r="F75" s="244"/>
      <c r="G75" s="244"/>
      <c r="H75" s="244"/>
      <c r="I75" s="244"/>
      <c r="J75" s="244"/>
      <c r="K75" s="247"/>
    </row>
    <row r="76" spans="1:11" ht="21">
      <c r="A76" s="246"/>
      <c r="B76" s="244"/>
      <c r="C76" s="244"/>
      <c r="D76" s="244"/>
      <c r="E76" s="244"/>
      <c r="F76" s="244"/>
      <c r="G76" s="244"/>
      <c r="H76" s="244"/>
      <c r="I76" s="244"/>
      <c r="J76" s="244"/>
      <c r="K76" s="247"/>
    </row>
    <row r="77" spans="1:11" ht="21">
      <c r="A77" s="246"/>
      <c r="B77" s="244"/>
      <c r="C77" s="244"/>
      <c r="D77" s="244"/>
      <c r="E77" s="244"/>
      <c r="F77" s="244"/>
      <c r="G77" s="244"/>
      <c r="H77" s="244"/>
      <c r="I77" s="244"/>
      <c r="J77" s="244"/>
      <c r="K77" s="247"/>
    </row>
    <row r="78" spans="1:11" ht="21.75" customHeight="1">
      <c r="A78" s="404" t="s">
        <v>377</v>
      </c>
      <c r="B78" s="404"/>
      <c r="C78" s="203"/>
      <c r="D78" s="404" t="s">
        <v>593</v>
      </c>
      <c r="E78" s="404"/>
      <c r="F78" s="404"/>
      <c r="G78" s="200" t="s">
        <v>594</v>
      </c>
      <c r="H78" s="406" t="s">
        <v>595</v>
      </c>
      <c r="I78" s="406"/>
      <c r="J78" s="406"/>
      <c r="K78" s="406"/>
    </row>
    <row r="79" spans="1:11" ht="21.75" customHeight="1">
      <c r="A79" s="404" t="s">
        <v>560</v>
      </c>
      <c r="B79" s="404"/>
      <c r="C79" s="203"/>
      <c r="D79" s="404" t="s">
        <v>510</v>
      </c>
      <c r="E79" s="404"/>
      <c r="F79" s="404"/>
      <c r="G79" s="233"/>
      <c r="H79" s="405" t="s">
        <v>565</v>
      </c>
      <c r="I79" s="405"/>
      <c r="J79" s="405"/>
      <c r="K79" s="405"/>
    </row>
    <row r="80" spans="1:12" ht="21.75" customHeight="1">
      <c r="A80" s="404" t="s">
        <v>596</v>
      </c>
      <c r="B80" s="404"/>
      <c r="C80" s="203"/>
      <c r="D80" s="404" t="s">
        <v>563</v>
      </c>
      <c r="E80" s="404"/>
      <c r="F80" s="404"/>
      <c r="G80" s="200"/>
      <c r="H80" s="405" t="s">
        <v>293</v>
      </c>
      <c r="I80" s="405"/>
      <c r="J80" s="405"/>
      <c r="K80" s="405"/>
      <c r="L80" s="248"/>
    </row>
    <row r="81" spans="1:11" ht="21.75" customHeight="1">
      <c r="A81" s="404" t="s">
        <v>597</v>
      </c>
      <c r="B81" s="404"/>
      <c r="D81" s="158"/>
      <c r="F81" s="248"/>
      <c r="G81" s="248"/>
      <c r="H81" s="405"/>
      <c r="I81" s="405"/>
      <c r="J81" s="405"/>
      <c r="K81" s="405"/>
    </row>
    <row r="82" spans="4:10" ht="21">
      <c r="D82" s="158"/>
      <c r="G82" s="158"/>
      <c r="I82" s="158"/>
      <c r="J82" s="158"/>
    </row>
    <row r="83" spans="4:10" ht="21">
      <c r="D83" s="158"/>
      <c r="G83" s="158"/>
      <c r="I83" s="158"/>
      <c r="J83" s="158"/>
    </row>
    <row r="84" spans="4:10" ht="21">
      <c r="D84" s="158"/>
      <c r="G84" s="158"/>
      <c r="I84" s="158"/>
      <c r="J84" s="158"/>
    </row>
    <row r="85" spans="4:10" ht="21">
      <c r="D85" s="158"/>
      <c r="G85" s="158"/>
      <c r="I85" s="158"/>
      <c r="J85" s="158"/>
    </row>
    <row r="86" spans="4:10" ht="21">
      <c r="D86" s="158"/>
      <c r="G86" s="158"/>
      <c r="I86" s="158"/>
      <c r="J86" s="158"/>
    </row>
    <row r="87" spans="4:10" ht="21">
      <c r="D87" s="158"/>
      <c r="G87" s="158"/>
      <c r="I87" s="158"/>
      <c r="J87" s="158"/>
    </row>
    <row r="88" spans="4:10" ht="21">
      <c r="D88" s="158"/>
      <c r="G88" s="158"/>
      <c r="I88" s="158"/>
      <c r="J88" s="158"/>
    </row>
    <row r="89" spans="4:10" ht="21">
      <c r="D89" s="158"/>
      <c r="G89" s="158"/>
      <c r="I89" s="158"/>
      <c r="J89" s="158"/>
    </row>
    <row r="90" spans="4:10" ht="21">
      <c r="D90" s="158"/>
      <c r="G90" s="158"/>
      <c r="I90" s="158"/>
      <c r="J90" s="158"/>
    </row>
    <row r="91" spans="4:10" ht="21">
      <c r="D91" s="158"/>
      <c r="G91" s="158"/>
      <c r="I91" s="158"/>
      <c r="J91" s="158"/>
    </row>
    <row r="92" spans="4:10" ht="21">
      <c r="D92" s="158"/>
      <c r="G92" s="158"/>
      <c r="I92" s="158"/>
      <c r="J92" s="158"/>
    </row>
    <row r="93" spans="4:10" ht="21">
      <c r="D93" s="158"/>
      <c r="G93" s="158"/>
      <c r="I93" s="158"/>
      <c r="J93" s="158"/>
    </row>
    <row r="94" spans="4:10" ht="21">
      <c r="D94" s="158"/>
      <c r="G94" s="158"/>
      <c r="I94" s="158"/>
      <c r="J94" s="158"/>
    </row>
    <row r="95" spans="4:10" ht="21">
      <c r="D95" s="158"/>
      <c r="G95" s="158"/>
      <c r="I95" s="158"/>
      <c r="J95" s="158"/>
    </row>
    <row r="96" spans="4:10" ht="21">
      <c r="D96" s="158"/>
      <c r="G96" s="158"/>
      <c r="I96" s="158"/>
      <c r="J96" s="158"/>
    </row>
    <row r="97" spans="4:10" ht="21">
      <c r="D97" s="158"/>
      <c r="G97" s="158"/>
      <c r="I97" s="158"/>
      <c r="J97" s="158"/>
    </row>
    <row r="98" spans="4:10" ht="21">
      <c r="D98" s="158"/>
      <c r="G98" s="158"/>
      <c r="I98" s="158"/>
      <c r="J98" s="158"/>
    </row>
    <row r="99" spans="4:10" ht="21">
      <c r="D99" s="158"/>
      <c r="G99" s="158"/>
      <c r="I99" s="158"/>
      <c r="J99" s="158"/>
    </row>
    <row r="100" spans="4:10" ht="21">
      <c r="D100" s="158"/>
      <c r="G100" s="158"/>
      <c r="I100" s="158"/>
      <c r="J100" s="158"/>
    </row>
    <row r="101" spans="4:10" ht="21">
      <c r="D101" s="158"/>
      <c r="G101" s="158"/>
      <c r="I101" s="158"/>
      <c r="J101" s="158"/>
    </row>
    <row r="102" spans="4:10" ht="21">
      <c r="D102" s="158"/>
      <c r="G102" s="158"/>
      <c r="I102" s="158"/>
      <c r="J102" s="158"/>
    </row>
    <row r="103" spans="4:10" ht="21">
      <c r="D103" s="158"/>
      <c r="G103" s="158"/>
      <c r="I103" s="158"/>
      <c r="J103" s="158"/>
    </row>
    <row r="104" spans="4:10" ht="21">
      <c r="D104" s="158"/>
      <c r="G104" s="158"/>
      <c r="I104" s="158"/>
      <c r="J104" s="158"/>
    </row>
    <row r="105" spans="4:10" ht="21">
      <c r="D105" s="158"/>
      <c r="G105" s="158"/>
      <c r="I105" s="158"/>
      <c r="J105" s="158"/>
    </row>
    <row r="106" spans="4:10" ht="21">
      <c r="D106" s="158"/>
      <c r="G106" s="158"/>
      <c r="I106" s="158"/>
      <c r="J106" s="158"/>
    </row>
    <row r="107" spans="4:10" ht="21">
      <c r="D107" s="158"/>
      <c r="G107" s="158"/>
      <c r="I107" s="158"/>
      <c r="J107" s="158"/>
    </row>
    <row r="108" spans="4:10" ht="21">
      <c r="D108" s="158"/>
      <c r="G108" s="158"/>
      <c r="I108" s="158"/>
      <c r="J108" s="158"/>
    </row>
    <row r="109" spans="4:10" ht="21">
      <c r="D109" s="158"/>
      <c r="G109" s="158"/>
      <c r="I109" s="158"/>
      <c r="J109" s="158"/>
    </row>
    <row r="110" spans="4:10" ht="21">
      <c r="D110" s="158"/>
      <c r="G110" s="158"/>
      <c r="I110" s="158"/>
      <c r="J110" s="158"/>
    </row>
    <row r="111" spans="4:10" ht="21">
      <c r="D111" s="158"/>
      <c r="G111" s="158"/>
      <c r="I111" s="158"/>
      <c r="J111" s="158"/>
    </row>
    <row r="112" spans="4:10" ht="21">
      <c r="D112" s="158"/>
      <c r="G112" s="158"/>
      <c r="I112" s="158"/>
      <c r="J112" s="158"/>
    </row>
    <row r="113" spans="4:10" ht="21">
      <c r="D113" s="158"/>
      <c r="G113" s="158"/>
      <c r="I113" s="158"/>
      <c r="J113" s="158"/>
    </row>
    <row r="114" spans="4:10" ht="21">
      <c r="D114" s="158"/>
      <c r="G114" s="158"/>
      <c r="I114" s="158"/>
      <c r="J114" s="158"/>
    </row>
    <row r="115" spans="4:10" ht="21">
      <c r="D115" s="158"/>
      <c r="G115" s="158"/>
      <c r="I115" s="158"/>
      <c r="J115" s="158"/>
    </row>
    <row r="116" spans="4:10" ht="21">
      <c r="D116" s="158"/>
      <c r="G116" s="158"/>
      <c r="I116" s="158"/>
      <c r="J116" s="158"/>
    </row>
    <row r="117" spans="4:10" ht="21">
      <c r="D117" s="158"/>
      <c r="G117" s="158"/>
      <c r="I117" s="158"/>
      <c r="J117" s="158"/>
    </row>
    <row r="118" spans="4:10" ht="21">
      <c r="D118" s="158"/>
      <c r="G118" s="158"/>
      <c r="I118" s="158"/>
      <c r="J118" s="158"/>
    </row>
    <row r="119" spans="4:10" ht="21">
      <c r="D119" s="158"/>
      <c r="G119" s="158"/>
      <c r="I119" s="158"/>
      <c r="J119" s="158"/>
    </row>
    <row r="120" spans="4:10" ht="21">
      <c r="D120" s="158"/>
      <c r="G120" s="158"/>
      <c r="I120" s="158"/>
      <c r="J120" s="158"/>
    </row>
    <row r="121" spans="4:10" ht="21">
      <c r="D121" s="158"/>
      <c r="G121" s="158"/>
      <c r="I121" s="158"/>
      <c r="J121" s="158"/>
    </row>
    <row r="122" spans="4:10" ht="21">
      <c r="D122" s="158"/>
      <c r="G122" s="158"/>
      <c r="I122" s="158"/>
      <c r="J122" s="158"/>
    </row>
    <row r="123" spans="4:10" ht="21">
      <c r="D123" s="158"/>
      <c r="G123" s="158"/>
      <c r="I123" s="158"/>
      <c r="J123" s="158"/>
    </row>
    <row r="124" spans="4:10" ht="21">
      <c r="D124" s="158"/>
      <c r="G124" s="158"/>
      <c r="I124" s="158"/>
      <c r="J124" s="158"/>
    </row>
    <row r="125" spans="4:10" ht="21">
      <c r="D125" s="158"/>
      <c r="G125" s="158"/>
      <c r="I125" s="158"/>
      <c r="J125" s="158"/>
    </row>
    <row r="126" spans="4:10" ht="21">
      <c r="D126" s="158"/>
      <c r="G126" s="158"/>
      <c r="I126" s="158"/>
      <c r="J126" s="158"/>
    </row>
    <row r="127" spans="4:10" ht="21">
      <c r="D127" s="158"/>
      <c r="G127" s="158"/>
      <c r="I127" s="158"/>
      <c r="J127" s="158"/>
    </row>
    <row r="128" spans="4:10" ht="21">
      <c r="D128" s="158"/>
      <c r="G128" s="158"/>
      <c r="I128" s="158"/>
      <c r="J128" s="158"/>
    </row>
    <row r="129" spans="4:10" ht="21">
      <c r="D129" s="158"/>
      <c r="G129" s="158"/>
      <c r="I129" s="158"/>
      <c r="J129" s="158"/>
    </row>
    <row r="130" spans="4:10" ht="21">
      <c r="D130" s="158"/>
      <c r="G130" s="158"/>
      <c r="I130" s="158"/>
      <c r="J130" s="158"/>
    </row>
    <row r="131" spans="4:10" ht="21">
      <c r="D131" s="158"/>
      <c r="G131" s="158"/>
      <c r="I131" s="158"/>
      <c r="J131" s="158"/>
    </row>
    <row r="132" spans="4:10" ht="21">
      <c r="D132" s="158"/>
      <c r="G132" s="158"/>
      <c r="I132" s="158"/>
      <c r="J132" s="158"/>
    </row>
    <row r="133" spans="4:10" ht="21">
      <c r="D133" s="158"/>
      <c r="G133" s="158"/>
      <c r="I133" s="158"/>
      <c r="J133" s="158"/>
    </row>
    <row r="134" spans="4:10" ht="21">
      <c r="D134" s="158"/>
      <c r="G134" s="158"/>
      <c r="I134" s="158"/>
      <c r="J134" s="158"/>
    </row>
    <row r="135" spans="4:10" ht="21">
      <c r="D135" s="158"/>
      <c r="G135" s="158"/>
      <c r="I135" s="158"/>
      <c r="J135" s="158"/>
    </row>
    <row r="136" spans="4:10" ht="21">
      <c r="D136" s="158"/>
      <c r="G136" s="158"/>
      <c r="I136" s="158"/>
      <c r="J136" s="158"/>
    </row>
    <row r="137" spans="4:10" ht="21">
      <c r="D137" s="158"/>
      <c r="G137" s="158"/>
      <c r="I137" s="158"/>
      <c r="J137" s="158"/>
    </row>
    <row r="138" spans="4:10" ht="21">
      <c r="D138" s="158"/>
      <c r="G138" s="158"/>
      <c r="I138" s="158"/>
      <c r="J138" s="158"/>
    </row>
    <row r="139" spans="4:10" ht="21">
      <c r="D139" s="158"/>
      <c r="G139" s="158"/>
      <c r="I139" s="158"/>
      <c r="J139" s="158"/>
    </row>
    <row r="140" spans="4:10" ht="21">
      <c r="D140" s="158"/>
      <c r="G140" s="158"/>
      <c r="I140" s="158"/>
      <c r="J140" s="158"/>
    </row>
    <row r="141" spans="4:10" ht="21">
      <c r="D141" s="158"/>
      <c r="G141" s="158"/>
      <c r="I141" s="158"/>
      <c r="J141" s="158"/>
    </row>
    <row r="142" spans="4:10" ht="21">
      <c r="D142" s="158"/>
      <c r="G142" s="158"/>
      <c r="I142" s="158"/>
      <c r="J142" s="158"/>
    </row>
    <row r="143" spans="4:10" ht="21">
      <c r="D143" s="158"/>
      <c r="G143" s="158"/>
      <c r="I143" s="158"/>
      <c r="J143" s="158"/>
    </row>
    <row r="144" spans="4:10" ht="21">
      <c r="D144" s="158"/>
      <c r="G144" s="158"/>
      <c r="I144" s="158"/>
      <c r="J144" s="158"/>
    </row>
    <row r="145" spans="4:10" ht="21">
      <c r="D145" s="158"/>
      <c r="G145" s="158"/>
      <c r="I145" s="158"/>
      <c r="J145" s="158"/>
    </row>
    <row r="146" spans="4:10" ht="21">
      <c r="D146" s="158"/>
      <c r="G146" s="158"/>
      <c r="I146" s="158"/>
      <c r="J146" s="158"/>
    </row>
    <row r="147" spans="4:10" ht="21">
      <c r="D147" s="158"/>
      <c r="G147" s="158"/>
      <c r="I147" s="158"/>
      <c r="J147" s="158"/>
    </row>
    <row r="148" spans="4:10" ht="21">
      <c r="D148" s="158"/>
      <c r="G148" s="158"/>
      <c r="I148" s="158"/>
      <c r="J148" s="158"/>
    </row>
    <row r="149" spans="4:10" ht="21">
      <c r="D149" s="158"/>
      <c r="G149" s="158"/>
      <c r="I149" s="158"/>
      <c r="J149" s="158"/>
    </row>
    <row r="150" spans="4:10" ht="21">
      <c r="D150" s="158"/>
      <c r="G150" s="158"/>
      <c r="I150" s="158"/>
      <c r="J150" s="158"/>
    </row>
    <row r="151" spans="4:10" ht="21">
      <c r="D151" s="158"/>
      <c r="G151" s="158"/>
      <c r="I151" s="158"/>
      <c r="J151" s="158"/>
    </row>
    <row r="152" spans="4:10" ht="21">
      <c r="D152" s="158"/>
      <c r="G152" s="158"/>
      <c r="I152" s="158"/>
      <c r="J152" s="158"/>
    </row>
    <row r="153" spans="4:10" ht="21">
      <c r="D153" s="158"/>
      <c r="G153" s="158"/>
      <c r="I153" s="158"/>
      <c r="J153" s="158"/>
    </row>
    <row r="154" spans="4:10" ht="21">
      <c r="D154" s="158"/>
      <c r="G154" s="158"/>
      <c r="I154" s="158"/>
      <c r="J154" s="158"/>
    </row>
    <row r="155" spans="4:10" ht="21">
      <c r="D155" s="158"/>
      <c r="G155" s="158"/>
      <c r="I155" s="158"/>
      <c r="J155" s="158"/>
    </row>
    <row r="156" spans="4:10" ht="21">
      <c r="D156" s="158"/>
      <c r="G156" s="158"/>
      <c r="I156" s="158"/>
      <c r="J156" s="158"/>
    </row>
    <row r="157" spans="4:10" ht="21">
      <c r="D157" s="158"/>
      <c r="G157" s="158"/>
      <c r="I157" s="158"/>
      <c r="J157" s="158"/>
    </row>
    <row r="158" spans="4:10" ht="21">
      <c r="D158" s="158"/>
      <c r="G158" s="158"/>
      <c r="I158" s="158"/>
      <c r="J158" s="158"/>
    </row>
    <row r="159" spans="4:10" ht="21">
      <c r="D159" s="158"/>
      <c r="G159" s="158"/>
      <c r="I159" s="158"/>
      <c r="J159" s="158"/>
    </row>
    <row r="160" spans="4:10" ht="21">
      <c r="D160" s="158"/>
      <c r="G160" s="158"/>
      <c r="I160" s="158"/>
      <c r="J160" s="158"/>
    </row>
    <row r="161" spans="4:10" ht="21">
      <c r="D161" s="158"/>
      <c r="G161" s="158"/>
      <c r="I161" s="158"/>
      <c r="J161" s="158"/>
    </row>
  </sheetData>
  <mergeCells count="16">
    <mergeCell ref="A1:K1"/>
    <mergeCell ref="A2:K2"/>
    <mergeCell ref="A3:K3"/>
    <mergeCell ref="B4:C4"/>
    <mergeCell ref="K4:K5"/>
    <mergeCell ref="A78:B78"/>
    <mergeCell ref="D78:F78"/>
    <mergeCell ref="H78:K78"/>
    <mergeCell ref="A79:B79"/>
    <mergeCell ref="D79:F79"/>
    <mergeCell ref="H79:K79"/>
    <mergeCell ref="A80:B80"/>
    <mergeCell ref="D80:F80"/>
    <mergeCell ref="H80:K80"/>
    <mergeCell ref="A81:B81"/>
    <mergeCell ref="H81:K81"/>
  </mergeCells>
  <printOptions/>
  <pageMargins left="0.36" right="0.2" top="0.38" bottom="0.34" header="0.24" footer="0.2"/>
  <pageSetup horizontalDpi="300" verticalDpi="300" orientation="landscape" paperSize="5" r:id="rId1"/>
  <headerFooter alignWithMargins="0">
    <oddHeader>&amp;Rหน้าที่ 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95"/>
  <sheetViews>
    <sheetView showGridLines="0" workbookViewId="0" topLeftCell="A4">
      <selection activeCell="H79" sqref="H79"/>
    </sheetView>
  </sheetViews>
  <sheetFormatPr defaultColWidth="9.140625" defaultRowHeight="21.75"/>
  <cols>
    <col min="1" max="1" width="5.421875" style="13" customWidth="1"/>
    <col min="2" max="2" width="47.00390625" style="13" customWidth="1"/>
    <col min="3" max="3" width="6.28125" style="13" customWidth="1"/>
    <col min="4" max="4" width="16.421875" style="13" customWidth="1"/>
    <col min="5" max="6" width="15.421875" style="13" customWidth="1"/>
    <col min="7" max="7" width="9.140625" style="13" customWidth="1"/>
    <col min="8" max="8" width="13.57421875" style="13" bestFit="1" customWidth="1"/>
    <col min="9" max="16384" width="9.140625" style="13" customWidth="1"/>
  </cols>
  <sheetData>
    <row r="1" spans="1:6" ht="21.75">
      <c r="A1" s="411" t="s">
        <v>156</v>
      </c>
      <c r="B1" s="411"/>
      <c r="C1" s="411"/>
      <c r="D1" s="411"/>
      <c r="E1" s="411"/>
      <c r="F1" s="411"/>
    </row>
    <row r="2" spans="1:6" ht="21.75">
      <c r="A2" s="411" t="s">
        <v>155</v>
      </c>
      <c r="B2" s="411"/>
      <c r="C2" s="411"/>
      <c r="D2" s="411"/>
      <c r="E2" s="411"/>
      <c r="F2" s="411"/>
    </row>
    <row r="3" spans="1:6" ht="21.75">
      <c r="A3" s="411" t="s">
        <v>677</v>
      </c>
      <c r="B3" s="411"/>
      <c r="C3" s="411"/>
      <c r="D3" s="411"/>
      <c r="E3" s="411"/>
      <c r="F3" s="411"/>
    </row>
    <row r="4" spans="1:6" ht="21.75">
      <c r="A4" s="16"/>
      <c r="B4" s="117"/>
      <c r="C4" s="16"/>
      <c r="D4" s="16"/>
      <c r="E4" s="16"/>
      <c r="F4" s="16"/>
    </row>
    <row r="5" spans="1:6" s="16" customFormat="1" ht="21.75">
      <c r="A5" s="412" t="s">
        <v>5</v>
      </c>
      <c r="B5" s="413"/>
      <c r="C5" s="41" t="s">
        <v>6</v>
      </c>
      <c r="D5" s="413" t="s">
        <v>2</v>
      </c>
      <c r="E5" s="413" t="s">
        <v>74</v>
      </c>
      <c r="F5" s="76" t="s">
        <v>82</v>
      </c>
    </row>
    <row r="6" spans="1:6" s="16" customFormat="1" ht="21.75">
      <c r="A6" s="414"/>
      <c r="B6" s="415"/>
      <c r="C6" s="42" t="s">
        <v>7</v>
      </c>
      <c r="D6" s="415"/>
      <c r="E6" s="415"/>
      <c r="F6" s="77" t="s">
        <v>83</v>
      </c>
    </row>
    <row r="7" spans="1:6" ht="21.75">
      <c r="A7" s="78" t="s">
        <v>157</v>
      </c>
      <c r="B7" s="79"/>
      <c r="C7" s="93"/>
      <c r="D7" s="56"/>
      <c r="E7" s="57"/>
      <c r="F7" s="57"/>
    </row>
    <row r="8" spans="1:6" ht="21.75">
      <c r="A8" s="80" t="s">
        <v>158</v>
      </c>
      <c r="B8" s="79"/>
      <c r="C8" s="94"/>
      <c r="D8" s="56"/>
      <c r="E8" s="57"/>
      <c r="F8" s="57"/>
    </row>
    <row r="9" spans="1:6" ht="21.75">
      <c r="A9" s="81" t="s">
        <v>169</v>
      </c>
      <c r="B9" s="79" t="s">
        <v>159</v>
      </c>
      <c r="C9" s="94" t="s">
        <v>214</v>
      </c>
      <c r="D9" s="57">
        <v>820000</v>
      </c>
      <c r="E9" s="57">
        <v>871919.34</v>
      </c>
      <c r="F9" s="82">
        <f aca="true" t="shared" si="0" ref="F9:F60">E9-D9</f>
        <v>51919.33999999997</v>
      </c>
    </row>
    <row r="10" spans="1:6" ht="21.75">
      <c r="A10" s="81" t="s">
        <v>170</v>
      </c>
      <c r="B10" s="79" t="s">
        <v>160</v>
      </c>
      <c r="C10" s="94" t="s">
        <v>215</v>
      </c>
      <c r="D10" s="57">
        <v>10000</v>
      </c>
      <c r="E10" s="57">
        <v>8008.62</v>
      </c>
      <c r="F10" s="82">
        <f t="shared" si="0"/>
        <v>-1991.38</v>
      </c>
    </row>
    <row r="11" spans="1:6" ht="21.75">
      <c r="A11" s="81" t="s">
        <v>171</v>
      </c>
      <c r="B11" s="79" t="s">
        <v>161</v>
      </c>
      <c r="C11" s="94" t="s">
        <v>216</v>
      </c>
      <c r="D11" s="57">
        <v>175000</v>
      </c>
      <c r="E11" s="57">
        <v>229991</v>
      </c>
      <c r="F11" s="82">
        <f t="shared" si="0"/>
        <v>54991</v>
      </c>
    </row>
    <row r="12" spans="1:6" ht="21.75">
      <c r="A12" s="83"/>
      <c r="B12" s="84" t="s">
        <v>61</v>
      </c>
      <c r="C12" s="94"/>
      <c r="D12" s="43">
        <f>SUM(D9:D11)</f>
        <v>1005000</v>
      </c>
      <c r="E12" s="43">
        <f>SUM(E9:E11)</f>
        <v>1109918.96</v>
      </c>
      <c r="F12" s="85">
        <f t="shared" si="0"/>
        <v>104918.95999999996</v>
      </c>
    </row>
    <row r="13" spans="1:6" ht="21.75">
      <c r="A13" s="80" t="s">
        <v>162</v>
      </c>
      <c r="B13" s="79"/>
      <c r="C13" s="94"/>
      <c r="D13" s="57"/>
      <c r="E13" s="57"/>
      <c r="F13" s="82"/>
    </row>
    <row r="14" spans="1:6" ht="21.75">
      <c r="A14" s="81" t="s">
        <v>169</v>
      </c>
      <c r="B14" s="79" t="s">
        <v>163</v>
      </c>
      <c r="C14" s="94" t="s">
        <v>217</v>
      </c>
      <c r="D14" s="57">
        <v>500</v>
      </c>
      <c r="E14" s="57">
        <v>0</v>
      </c>
      <c r="F14" s="82">
        <f t="shared" si="0"/>
        <v>-500</v>
      </c>
    </row>
    <row r="15" spans="1:6" ht="21.75">
      <c r="A15" s="81" t="s">
        <v>170</v>
      </c>
      <c r="B15" s="79" t="s">
        <v>164</v>
      </c>
      <c r="C15" s="94" t="s">
        <v>218</v>
      </c>
      <c r="D15" s="57">
        <v>100</v>
      </c>
      <c r="E15" s="57"/>
      <c r="F15" s="82">
        <f t="shared" si="0"/>
        <v>-100</v>
      </c>
    </row>
    <row r="16" spans="1:6" ht="21.75">
      <c r="A16" s="81" t="s">
        <v>171</v>
      </c>
      <c r="B16" s="79" t="s">
        <v>165</v>
      </c>
      <c r="C16" s="94" t="s">
        <v>219</v>
      </c>
      <c r="D16" s="57">
        <v>20000</v>
      </c>
      <c r="E16" s="57">
        <v>16213.75</v>
      </c>
      <c r="F16" s="82">
        <f t="shared" si="0"/>
        <v>-3786.25</v>
      </c>
    </row>
    <row r="17" spans="1:6" ht="21.75">
      <c r="A17" s="81" t="s">
        <v>172</v>
      </c>
      <c r="B17" s="79" t="s">
        <v>323</v>
      </c>
      <c r="C17" s="94"/>
      <c r="D17" s="57">
        <v>400000</v>
      </c>
      <c r="E17" s="57">
        <v>431210</v>
      </c>
      <c r="F17" s="82">
        <f t="shared" si="0"/>
        <v>31210</v>
      </c>
    </row>
    <row r="18" spans="1:6" ht="21.75">
      <c r="A18" s="81" t="s">
        <v>173</v>
      </c>
      <c r="B18" s="79" t="s">
        <v>324</v>
      </c>
      <c r="C18" s="94"/>
      <c r="D18" s="57">
        <v>10000</v>
      </c>
      <c r="E18" s="57">
        <v>14000</v>
      </c>
      <c r="F18" s="82">
        <f t="shared" si="0"/>
        <v>4000</v>
      </c>
    </row>
    <row r="19" spans="1:6" ht="21.75">
      <c r="A19" s="81" t="s">
        <v>174</v>
      </c>
      <c r="B19" s="79" t="s">
        <v>325</v>
      </c>
      <c r="C19" s="94"/>
      <c r="D19" s="57"/>
      <c r="E19" s="57"/>
      <c r="F19" s="82"/>
    </row>
    <row r="20" spans="1:6" ht="21.75">
      <c r="A20" s="81" t="s">
        <v>175</v>
      </c>
      <c r="B20" s="79" t="s">
        <v>179</v>
      </c>
      <c r="C20" s="94" t="s">
        <v>220</v>
      </c>
      <c r="D20" s="57">
        <v>1000</v>
      </c>
      <c r="E20" s="57">
        <v>0</v>
      </c>
      <c r="F20" s="82">
        <f t="shared" si="0"/>
        <v>-1000</v>
      </c>
    </row>
    <row r="21" spans="1:6" ht="21.75">
      <c r="A21" s="81" t="s">
        <v>176</v>
      </c>
      <c r="B21" s="79" t="s">
        <v>166</v>
      </c>
      <c r="C21" s="94" t="s">
        <v>221</v>
      </c>
      <c r="D21" s="57">
        <v>2000</v>
      </c>
      <c r="E21" s="57">
        <v>7993</v>
      </c>
      <c r="F21" s="82">
        <f t="shared" si="0"/>
        <v>5993</v>
      </c>
    </row>
    <row r="22" spans="1:6" ht="21.75">
      <c r="A22" s="81" t="s">
        <v>177</v>
      </c>
      <c r="B22" s="79" t="s">
        <v>425</v>
      </c>
      <c r="C22" s="95" t="s">
        <v>222</v>
      </c>
      <c r="D22" s="57">
        <v>1000</v>
      </c>
      <c r="E22" s="57"/>
      <c r="F22" s="82">
        <f t="shared" si="0"/>
        <v>-1000</v>
      </c>
    </row>
    <row r="23" spans="1:6" ht="21.75">
      <c r="A23" s="81" t="s">
        <v>178</v>
      </c>
      <c r="B23" s="79" t="s">
        <v>168</v>
      </c>
      <c r="C23" s="94" t="s">
        <v>223</v>
      </c>
      <c r="D23" s="57">
        <v>3000</v>
      </c>
      <c r="E23" s="57">
        <v>2380</v>
      </c>
      <c r="F23" s="82">
        <f t="shared" si="0"/>
        <v>-620</v>
      </c>
    </row>
    <row r="24" spans="1:6" ht="21.75">
      <c r="A24" s="81" t="s">
        <v>326</v>
      </c>
      <c r="B24" s="79" t="s">
        <v>167</v>
      </c>
      <c r="C24" s="94"/>
      <c r="D24" s="57">
        <v>20000</v>
      </c>
      <c r="E24" s="57">
        <v>21900</v>
      </c>
      <c r="F24" s="82">
        <f t="shared" si="0"/>
        <v>1900</v>
      </c>
    </row>
    <row r="25" spans="1:6" ht="21.75">
      <c r="A25" s="81" t="s">
        <v>327</v>
      </c>
      <c r="B25" s="79" t="s">
        <v>328</v>
      </c>
      <c r="C25" s="94"/>
      <c r="D25" s="57"/>
      <c r="E25" s="57"/>
      <c r="F25" s="82">
        <f t="shared" si="0"/>
        <v>0</v>
      </c>
    </row>
    <row r="26" spans="1:6" ht="21.75">
      <c r="A26" s="81" t="s">
        <v>329</v>
      </c>
      <c r="B26" s="79" t="s">
        <v>330</v>
      </c>
      <c r="C26" s="94"/>
      <c r="D26" s="57"/>
      <c r="E26" s="57"/>
      <c r="F26" s="82">
        <f t="shared" si="0"/>
        <v>0</v>
      </c>
    </row>
    <row r="27" spans="1:6" ht="21.75">
      <c r="A27" s="81"/>
      <c r="B27" s="84" t="s">
        <v>61</v>
      </c>
      <c r="C27" s="94"/>
      <c r="D27" s="43">
        <f>SUM(D14:D26)</f>
        <v>457600</v>
      </c>
      <c r="E27" s="43">
        <f>SUM(E14:E26)</f>
        <v>493696.75</v>
      </c>
      <c r="F27" s="85">
        <f t="shared" si="0"/>
        <v>36096.75</v>
      </c>
    </row>
    <row r="28" spans="1:6" ht="21.75">
      <c r="A28" s="86" t="s">
        <v>180</v>
      </c>
      <c r="B28" s="79"/>
      <c r="C28" s="94"/>
      <c r="D28" s="57"/>
      <c r="E28" s="57"/>
      <c r="F28" s="82"/>
    </row>
    <row r="29" spans="1:6" ht="21.75">
      <c r="A29" s="81" t="s">
        <v>169</v>
      </c>
      <c r="B29" s="79" t="s">
        <v>181</v>
      </c>
      <c r="C29" s="94" t="s">
        <v>224</v>
      </c>
      <c r="D29" s="57">
        <v>200000</v>
      </c>
      <c r="E29" s="57">
        <v>291252.07</v>
      </c>
      <c r="F29" s="82">
        <f t="shared" si="0"/>
        <v>91252.07</v>
      </c>
    </row>
    <row r="30" spans="1:6" ht="21.75">
      <c r="A30" s="81" t="s">
        <v>170</v>
      </c>
      <c r="B30" s="79" t="s">
        <v>182</v>
      </c>
      <c r="C30" s="94"/>
      <c r="D30" s="57"/>
      <c r="E30" s="57"/>
      <c r="F30" s="82"/>
    </row>
    <row r="31" spans="1:6" ht="21.75">
      <c r="A31" s="81"/>
      <c r="B31" s="84" t="s">
        <v>61</v>
      </c>
      <c r="C31" s="94"/>
      <c r="D31" s="43">
        <f>SUM(D29:D30)</f>
        <v>200000</v>
      </c>
      <c r="E31" s="43">
        <f>SUM(E29:E30)</f>
        <v>291252.07</v>
      </c>
      <c r="F31" s="85">
        <f t="shared" si="0"/>
        <v>91252.07</v>
      </c>
    </row>
    <row r="32" spans="1:6" ht="21.75">
      <c r="A32" s="86" t="s">
        <v>183</v>
      </c>
      <c r="B32" s="79"/>
      <c r="C32" s="94"/>
      <c r="D32" s="57"/>
      <c r="E32" s="57"/>
      <c r="F32" s="82"/>
    </row>
    <row r="33" spans="1:6" ht="21.75">
      <c r="A33" s="81" t="s">
        <v>169</v>
      </c>
      <c r="B33" s="79" t="s">
        <v>184</v>
      </c>
      <c r="C33" s="94" t="s">
        <v>225</v>
      </c>
      <c r="D33" s="57">
        <v>150000</v>
      </c>
      <c r="E33" s="57">
        <v>227300</v>
      </c>
      <c r="F33" s="82">
        <f t="shared" si="0"/>
        <v>77300</v>
      </c>
    </row>
    <row r="34" spans="1:6" ht="21.75">
      <c r="A34" s="81" t="s">
        <v>170</v>
      </c>
      <c r="B34" s="79" t="s">
        <v>185</v>
      </c>
      <c r="C34" s="94" t="s">
        <v>226</v>
      </c>
      <c r="D34" s="57">
        <v>1000</v>
      </c>
      <c r="E34" s="57">
        <v>485</v>
      </c>
      <c r="F34" s="82">
        <f t="shared" si="0"/>
        <v>-515</v>
      </c>
    </row>
    <row r="35" spans="1:6" ht="21.75">
      <c r="A35" s="81" t="s">
        <v>171</v>
      </c>
      <c r="B35" s="79" t="s">
        <v>186</v>
      </c>
      <c r="C35" s="94" t="s">
        <v>227</v>
      </c>
      <c r="D35" s="57">
        <v>80000</v>
      </c>
      <c r="E35" s="57">
        <v>1995.1</v>
      </c>
      <c r="F35" s="82">
        <f t="shared" si="0"/>
        <v>-78004.9</v>
      </c>
    </row>
    <row r="36" spans="1:6" ht="21.75">
      <c r="A36" s="81" t="s">
        <v>172</v>
      </c>
      <c r="B36" s="79" t="s">
        <v>322</v>
      </c>
      <c r="C36" s="94"/>
      <c r="D36" s="57">
        <v>0</v>
      </c>
      <c r="E36" s="57">
        <v>0</v>
      </c>
      <c r="F36" s="82">
        <v>0</v>
      </c>
    </row>
    <row r="37" spans="1:6" ht="21.75">
      <c r="A37" s="81"/>
      <c r="B37" s="84" t="s">
        <v>61</v>
      </c>
      <c r="C37" s="94"/>
      <c r="D37" s="43">
        <f>SUM(D33:D36)</f>
        <v>231000</v>
      </c>
      <c r="E37" s="43">
        <f>SUM(E33:E36)</f>
        <v>229780.1</v>
      </c>
      <c r="F37" s="85">
        <f t="shared" si="0"/>
        <v>-1219.8999999999942</v>
      </c>
    </row>
    <row r="38" spans="1:6" ht="21.75">
      <c r="A38" s="87" t="s">
        <v>187</v>
      </c>
      <c r="B38" s="79"/>
      <c r="C38" s="94"/>
      <c r="D38" s="57"/>
      <c r="E38" s="57"/>
      <c r="F38" s="82"/>
    </row>
    <row r="39" spans="1:6" ht="21.75">
      <c r="A39" s="79" t="s">
        <v>188</v>
      </c>
      <c r="C39" s="95"/>
      <c r="D39" s="57"/>
      <c r="E39" s="57"/>
      <c r="F39" s="82"/>
    </row>
    <row r="40" spans="1:6" ht="21.75">
      <c r="A40" s="81" t="s">
        <v>169</v>
      </c>
      <c r="B40" s="79" t="s">
        <v>189</v>
      </c>
      <c r="C40" s="94" t="s">
        <v>228</v>
      </c>
      <c r="D40" s="57">
        <v>50000</v>
      </c>
      <c r="E40" s="57">
        <v>0</v>
      </c>
      <c r="F40" s="82">
        <f t="shared" si="0"/>
        <v>-50000</v>
      </c>
    </row>
    <row r="41" spans="1:6" ht="21.75">
      <c r="A41" s="81" t="s">
        <v>170</v>
      </c>
      <c r="B41" s="79" t="s">
        <v>678</v>
      </c>
      <c r="C41" s="94" t="s">
        <v>229</v>
      </c>
      <c r="D41" s="57">
        <v>4800000</v>
      </c>
      <c r="E41" s="57">
        <v>5170080.84</v>
      </c>
      <c r="F41" s="82">
        <f t="shared" si="0"/>
        <v>370080.83999999985</v>
      </c>
    </row>
    <row r="42" spans="1:6" ht="21.75">
      <c r="A42" s="81" t="s">
        <v>171</v>
      </c>
      <c r="B42" s="79" t="s">
        <v>679</v>
      </c>
      <c r="C42" s="94" t="s">
        <v>681</v>
      </c>
      <c r="D42" s="57">
        <v>4500000</v>
      </c>
      <c r="E42" s="57">
        <v>4038722.53</v>
      </c>
      <c r="F42" s="82">
        <f t="shared" si="0"/>
        <v>-461277.4700000002</v>
      </c>
    </row>
    <row r="43" spans="1:6" ht="21.75">
      <c r="A43" s="81" t="s">
        <v>172</v>
      </c>
      <c r="B43" s="79" t="s">
        <v>190</v>
      </c>
      <c r="C43" s="94" t="s">
        <v>230</v>
      </c>
      <c r="D43" s="57">
        <v>135000</v>
      </c>
      <c r="E43" s="57">
        <v>48814.84</v>
      </c>
      <c r="F43" s="82">
        <f t="shared" si="0"/>
        <v>-86185.16</v>
      </c>
    </row>
    <row r="44" spans="1:6" ht="21.75">
      <c r="A44" s="81" t="s">
        <v>173</v>
      </c>
      <c r="B44" s="79" t="s">
        <v>191</v>
      </c>
      <c r="C44" s="94" t="s">
        <v>231</v>
      </c>
      <c r="D44" s="57">
        <v>2000000</v>
      </c>
      <c r="E44" s="57">
        <v>2158310.02</v>
      </c>
      <c r="F44" s="82">
        <f t="shared" si="0"/>
        <v>158310.02000000002</v>
      </c>
    </row>
    <row r="45" spans="1:6" ht="21.75">
      <c r="A45" s="81" t="s">
        <v>174</v>
      </c>
      <c r="B45" s="79" t="s">
        <v>192</v>
      </c>
      <c r="C45" s="94" t="s">
        <v>232</v>
      </c>
      <c r="D45" s="57">
        <v>4500000</v>
      </c>
      <c r="E45" s="57">
        <v>4236182.64</v>
      </c>
      <c r="F45" s="82">
        <f t="shared" si="0"/>
        <v>-263817.36000000034</v>
      </c>
    </row>
    <row r="46" spans="1:6" ht="21.75">
      <c r="A46" s="81" t="s">
        <v>175</v>
      </c>
      <c r="B46" s="79" t="s">
        <v>193</v>
      </c>
      <c r="C46" s="94" t="s">
        <v>233</v>
      </c>
      <c r="D46" s="57">
        <v>2000</v>
      </c>
      <c r="E46" s="57"/>
      <c r="F46" s="82">
        <f t="shared" si="0"/>
        <v>-2000</v>
      </c>
    </row>
    <row r="47" spans="1:6" ht="21.75">
      <c r="A47" s="81" t="s">
        <v>680</v>
      </c>
      <c r="B47" s="79" t="s">
        <v>194</v>
      </c>
      <c r="C47" s="94" t="s">
        <v>234</v>
      </c>
      <c r="D47" s="57">
        <v>50000</v>
      </c>
      <c r="E47" s="57">
        <v>98947.64</v>
      </c>
      <c r="F47" s="82">
        <f t="shared" si="0"/>
        <v>48947.64</v>
      </c>
    </row>
    <row r="48" spans="1:6" ht="21.75">
      <c r="A48" s="81" t="s">
        <v>177</v>
      </c>
      <c r="B48" s="79" t="s">
        <v>195</v>
      </c>
      <c r="C48" s="94" t="s">
        <v>235</v>
      </c>
      <c r="D48" s="57">
        <v>85000</v>
      </c>
      <c r="E48" s="57">
        <v>143866.19</v>
      </c>
      <c r="F48" s="82">
        <f t="shared" si="0"/>
        <v>58866.19</v>
      </c>
    </row>
    <row r="49" spans="1:6" ht="21.75">
      <c r="A49" s="81" t="s">
        <v>178</v>
      </c>
      <c r="B49" s="79" t="s">
        <v>426</v>
      </c>
      <c r="C49" s="94" t="s">
        <v>236</v>
      </c>
      <c r="D49" s="57">
        <v>6500000</v>
      </c>
      <c r="E49" s="57">
        <v>6233707</v>
      </c>
      <c r="F49" s="82">
        <f t="shared" si="0"/>
        <v>-266293</v>
      </c>
    </row>
    <row r="50" spans="1:6" ht="21.75">
      <c r="A50" s="81" t="s">
        <v>326</v>
      </c>
      <c r="B50" s="79" t="s">
        <v>196</v>
      </c>
      <c r="C50" s="94"/>
      <c r="D50" s="57">
        <v>3000</v>
      </c>
      <c r="E50" s="57">
        <v>2100</v>
      </c>
      <c r="F50" s="82">
        <f t="shared" si="0"/>
        <v>-900</v>
      </c>
    </row>
    <row r="51" spans="1:6" ht="21.75">
      <c r="A51" s="81"/>
      <c r="B51" s="84" t="s">
        <v>61</v>
      </c>
      <c r="C51" s="94"/>
      <c r="D51" s="43">
        <f>SUM(D40:D50)</f>
        <v>22625000</v>
      </c>
      <c r="E51" s="43">
        <f>SUM(E40:E50)</f>
        <v>22130731.699999996</v>
      </c>
      <c r="F51" s="85">
        <f t="shared" si="0"/>
        <v>-494268.30000000447</v>
      </c>
    </row>
    <row r="52" spans="1:6" ht="21.75">
      <c r="A52" s="87" t="s">
        <v>197</v>
      </c>
      <c r="B52" s="79"/>
      <c r="C52" s="94"/>
      <c r="D52" s="57"/>
      <c r="E52" s="57"/>
      <c r="F52" s="82"/>
    </row>
    <row r="53" spans="1:6" ht="21.75">
      <c r="A53" s="86" t="s">
        <v>198</v>
      </c>
      <c r="B53" s="79"/>
      <c r="C53" s="94"/>
      <c r="D53" s="57"/>
      <c r="E53" s="57"/>
      <c r="F53" s="82"/>
    </row>
    <row r="54" spans="1:6" ht="21.75">
      <c r="A54" s="81" t="s">
        <v>169</v>
      </c>
      <c r="B54" s="79" t="s">
        <v>199</v>
      </c>
      <c r="C54" s="94" t="s">
        <v>26</v>
      </c>
      <c r="D54" s="57">
        <v>13500000</v>
      </c>
      <c r="E54" s="57">
        <v>12621242.06</v>
      </c>
      <c r="F54" s="82">
        <f t="shared" si="0"/>
        <v>-878757.9399999995</v>
      </c>
    </row>
    <row r="55" spans="1:6" ht="21.75">
      <c r="A55" s="86"/>
      <c r="B55" s="84" t="s">
        <v>61</v>
      </c>
      <c r="C55" s="94"/>
      <c r="D55" s="43">
        <f>SUM(D54)</f>
        <v>13500000</v>
      </c>
      <c r="E55" s="43">
        <f>SUM(E54)</f>
        <v>12621242.06</v>
      </c>
      <c r="F55" s="85">
        <f t="shared" si="0"/>
        <v>-878757.9399999995</v>
      </c>
    </row>
    <row r="56" spans="1:8" ht="21.75">
      <c r="A56" s="87" t="s">
        <v>200</v>
      </c>
      <c r="B56" s="79"/>
      <c r="C56" s="94"/>
      <c r="D56" s="57"/>
      <c r="E56" s="57"/>
      <c r="F56" s="82"/>
      <c r="H56" s="181"/>
    </row>
    <row r="57" spans="1:8" ht="21.75">
      <c r="A57" s="88" t="s">
        <v>201</v>
      </c>
      <c r="B57" s="79"/>
      <c r="C57" s="94" t="s">
        <v>237</v>
      </c>
      <c r="D57" s="57"/>
      <c r="E57" s="57"/>
      <c r="F57" s="82"/>
      <c r="H57" s="181"/>
    </row>
    <row r="58" spans="1:6" ht="21.75">
      <c r="A58" s="81" t="s">
        <v>169</v>
      </c>
      <c r="B58" s="79" t="s">
        <v>79</v>
      </c>
      <c r="C58" s="94"/>
      <c r="D58" s="57">
        <v>0</v>
      </c>
      <c r="E58" s="57">
        <f>1092500+3588000+122325+110400+25000+73395</f>
        <v>5011620</v>
      </c>
      <c r="F58" s="82">
        <f t="shared" si="0"/>
        <v>5011620</v>
      </c>
    </row>
    <row r="59" spans="2:6" ht="21.75">
      <c r="B59" s="84" t="s">
        <v>61</v>
      </c>
      <c r="C59" s="94"/>
      <c r="D59" s="43">
        <f>SUM(D58)</f>
        <v>0</v>
      </c>
      <c r="E59" s="43">
        <f>SUM(E58)</f>
        <v>5011620</v>
      </c>
      <c r="F59" s="85">
        <f t="shared" si="0"/>
        <v>5011620</v>
      </c>
    </row>
    <row r="60" spans="2:8" ht="21.75">
      <c r="B60" s="84" t="s">
        <v>81</v>
      </c>
      <c r="C60" s="94"/>
      <c r="D60" s="43">
        <f>D12+D27+D31+D37+D51+D55+D59</f>
        <v>38018600</v>
      </c>
      <c r="E60" s="43">
        <f>E12+E27+E31+E37+E51+E55+E59</f>
        <v>41888241.63999999</v>
      </c>
      <c r="F60" s="85">
        <f t="shared" si="0"/>
        <v>3869641.639999993</v>
      </c>
      <c r="H60" s="116"/>
    </row>
    <row r="61" spans="1:6" ht="21.75">
      <c r="A61" s="92" t="s">
        <v>28</v>
      </c>
      <c r="B61" s="79"/>
      <c r="C61" s="94"/>
      <c r="D61" s="57"/>
      <c r="E61" s="57"/>
      <c r="F61" s="82"/>
    </row>
    <row r="62" spans="1:6" ht="21.75">
      <c r="A62" s="13" t="s">
        <v>202</v>
      </c>
      <c r="B62" s="79"/>
      <c r="C62" s="94"/>
      <c r="D62" s="57"/>
      <c r="E62" s="57"/>
      <c r="F62" s="82"/>
    </row>
    <row r="63" spans="2:6" ht="23.25">
      <c r="B63" s="79" t="s">
        <v>203</v>
      </c>
      <c r="C63" s="94" t="s">
        <v>90</v>
      </c>
      <c r="D63" s="22">
        <v>3364000</v>
      </c>
      <c r="E63" s="22">
        <f>63220+288210+700000+321636+543272+37000+20978+127233.6+187629.6</f>
        <v>2289179.2</v>
      </c>
      <c r="F63" s="82">
        <f aca="true" t="shared" si="1" ref="F63:F71">D63-E63</f>
        <v>1074820.7999999998</v>
      </c>
    </row>
    <row r="64" spans="2:6" ht="23.25">
      <c r="B64" s="79" t="s">
        <v>30</v>
      </c>
      <c r="C64" s="94" t="s">
        <v>91</v>
      </c>
      <c r="D64" s="22">
        <v>4781715.81</v>
      </c>
      <c r="E64" s="22">
        <f>351855.1+343908+343768+365767+359367+358527+368501.83+354770+354770+354770+355730+355010</f>
        <v>4266743.93</v>
      </c>
      <c r="F64" s="82">
        <f t="shared" si="1"/>
        <v>514971.8799999999</v>
      </c>
    </row>
    <row r="65" spans="2:6" ht="23.25">
      <c r="B65" s="79" t="s">
        <v>67</v>
      </c>
      <c r="C65" s="94" t="s">
        <v>92</v>
      </c>
      <c r="D65" s="22">
        <v>3009000</v>
      </c>
      <c r="E65" s="22">
        <f>208540+208540+214620+218100+216360+216360+216360+216360+209780+209780+209780+209780</f>
        <v>2554360</v>
      </c>
      <c r="F65" s="82">
        <f t="shared" si="1"/>
        <v>454640</v>
      </c>
    </row>
    <row r="66" spans="2:6" ht="23.25">
      <c r="B66" s="79" t="s">
        <v>204</v>
      </c>
      <c r="C66" s="94" t="s">
        <v>41</v>
      </c>
      <c r="D66" s="22">
        <v>3086403.19</v>
      </c>
      <c r="E66" s="22">
        <f>340690.19+182663+335161+187285+163413+194901+197754+184001+197821+175638+206128+219507</f>
        <v>2584962.19</v>
      </c>
      <c r="F66" s="82">
        <f t="shared" si="1"/>
        <v>501441</v>
      </c>
    </row>
    <row r="67" spans="2:8" ht="23.25">
      <c r="B67" s="79" t="s">
        <v>205</v>
      </c>
      <c r="C67" s="94" t="s">
        <v>42</v>
      </c>
      <c r="D67" s="22">
        <v>10748720.71</v>
      </c>
      <c r="E67" s="22">
        <f>30672+189124.55+184130+262734+424276.17+1045646+1162102.5+605580+575864+678044+1581392+1429088.4</f>
        <v>8168653.619999999</v>
      </c>
      <c r="F67" s="82">
        <f t="shared" si="1"/>
        <v>2580067.0900000017</v>
      </c>
      <c r="H67" s="116"/>
    </row>
    <row r="68" spans="2:6" ht="23.25">
      <c r="B68" s="79" t="s">
        <v>206</v>
      </c>
      <c r="C68" s="94" t="s">
        <v>43</v>
      </c>
      <c r="D68" s="22">
        <v>4277910.29</v>
      </c>
      <c r="E68" s="22">
        <f>11120+146787.2+55313.6+163564.42+245871.42+194180.13+160563.25+189735.13+193215.4+557619.61+159683.62+787500.34</f>
        <v>2865154.1199999996</v>
      </c>
      <c r="F68" s="82">
        <f t="shared" si="1"/>
        <v>1412756.1700000004</v>
      </c>
    </row>
    <row r="69" spans="2:6" ht="23.25">
      <c r="B69" s="79" t="s">
        <v>207</v>
      </c>
      <c r="C69" s="94" t="s">
        <v>44</v>
      </c>
      <c r="D69" s="22">
        <v>433000</v>
      </c>
      <c r="E69" s="22">
        <f>7980.85+16068.85+15220.48+9912.87+25121.39+2538.6+22248.06+26303.18+16259+26373.66+46083.72+4457.62</f>
        <v>218568.28</v>
      </c>
      <c r="F69" s="82">
        <f t="shared" si="1"/>
        <v>214431.72</v>
      </c>
    </row>
    <row r="70" spans="2:6" ht="23.25">
      <c r="B70" s="79" t="s">
        <v>198</v>
      </c>
      <c r="C70" s="94" t="s">
        <v>45</v>
      </c>
      <c r="D70" s="22">
        <v>2226994.79</v>
      </c>
      <c r="E70" s="22">
        <f>738200+254400+369645.28+20000+298749.51</f>
        <v>1680994.79</v>
      </c>
      <c r="F70" s="82">
        <f t="shared" si="1"/>
        <v>546000</v>
      </c>
    </row>
    <row r="71" spans="2:6" ht="21.75">
      <c r="B71" s="84" t="s">
        <v>208</v>
      </c>
      <c r="C71" s="94"/>
      <c r="D71" s="43">
        <f>SUM(D63:D70)</f>
        <v>31927744.79</v>
      </c>
      <c r="E71" s="43">
        <f>SUM(E63:E70)</f>
        <v>24628616.13</v>
      </c>
      <c r="F71" s="85">
        <f t="shared" si="1"/>
        <v>7299128.66</v>
      </c>
    </row>
    <row r="72" spans="1:6" ht="21.75">
      <c r="A72" s="13" t="s">
        <v>209</v>
      </c>
      <c r="B72" s="79"/>
      <c r="C72" s="94"/>
      <c r="D72" s="57"/>
      <c r="E72" s="57"/>
      <c r="F72" s="82"/>
    </row>
    <row r="73" spans="2:6" ht="23.25">
      <c r="B73" s="79" t="s">
        <v>210</v>
      </c>
      <c r="C73" s="94" t="s">
        <v>46</v>
      </c>
      <c r="D73" s="22">
        <v>241500</v>
      </c>
      <c r="E73" s="22">
        <f>115200+6000+29960</f>
        <v>151160</v>
      </c>
      <c r="F73" s="82">
        <f>D73-E73</f>
        <v>90340</v>
      </c>
    </row>
    <row r="74" spans="2:6" ht="23.25">
      <c r="B74" s="79" t="s">
        <v>211</v>
      </c>
      <c r="C74" s="94" t="s">
        <v>47</v>
      </c>
      <c r="D74" s="22">
        <v>5800805.21</v>
      </c>
      <c r="E74" s="22">
        <f>307425+731223+4102876</f>
        <v>5141524</v>
      </c>
      <c r="F74" s="82">
        <f>D74-E74</f>
        <v>659281.21</v>
      </c>
    </row>
    <row r="75" spans="2:6" ht="21.75">
      <c r="B75" s="79" t="s">
        <v>321</v>
      </c>
      <c r="C75" s="94"/>
      <c r="D75" s="57"/>
      <c r="E75" s="57"/>
      <c r="F75" s="82">
        <f>D75-E75</f>
        <v>0</v>
      </c>
    </row>
    <row r="76" spans="2:6" ht="21.75">
      <c r="B76" s="84" t="s">
        <v>212</v>
      </c>
      <c r="C76" s="94"/>
      <c r="D76" s="43">
        <f>SUM(D73:D75)</f>
        <v>6042305.21</v>
      </c>
      <c r="E76" s="43">
        <f>SUM(E73:E75)</f>
        <v>5292684</v>
      </c>
      <c r="F76" s="85">
        <f>D76-E76</f>
        <v>749621.21</v>
      </c>
    </row>
    <row r="77" spans="1:6" ht="21.75">
      <c r="A77" s="88" t="s">
        <v>683</v>
      </c>
      <c r="B77" s="84"/>
      <c r="C77" s="94"/>
      <c r="D77" s="43"/>
      <c r="E77" s="43"/>
      <c r="F77" s="85"/>
    </row>
    <row r="78" spans="2:6" ht="23.25">
      <c r="B78" s="79" t="s">
        <v>682</v>
      </c>
      <c r="C78" s="94"/>
      <c r="D78" s="43"/>
      <c r="E78" s="318">
        <f>3458000+1423620</f>
        <v>4881620</v>
      </c>
      <c r="F78" s="85"/>
    </row>
    <row r="79" spans="2:6" ht="21.75">
      <c r="B79" s="84" t="s">
        <v>94</v>
      </c>
      <c r="C79" s="94"/>
      <c r="D79" s="43">
        <f>D71+D76</f>
        <v>37970050</v>
      </c>
      <c r="E79" s="43">
        <f>E71+E76</f>
        <v>29921300.13</v>
      </c>
      <c r="F79" s="85">
        <f>D79-E79</f>
        <v>8048749.870000001</v>
      </c>
    </row>
    <row r="80" spans="2:6" ht="21.75">
      <c r="B80" s="90" t="s">
        <v>213</v>
      </c>
      <c r="C80" s="96"/>
      <c r="D80" s="89"/>
      <c r="E80" s="89">
        <f>E60-E79-E78</f>
        <v>7085321.509999994</v>
      </c>
      <c r="F80" s="91"/>
    </row>
    <row r="82" ht="23.25">
      <c r="D82" s="48"/>
    </row>
    <row r="88" spans="1:6" ht="21.75">
      <c r="A88" s="16"/>
      <c r="B88" s="16"/>
      <c r="C88" s="16"/>
      <c r="D88" s="16"/>
      <c r="E88" s="16"/>
      <c r="F88" s="16"/>
    </row>
    <row r="90" spans="1:6" ht="21.75">
      <c r="A90" s="411" t="s">
        <v>484</v>
      </c>
      <c r="B90" s="411"/>
      <c r="C90" s="411"/>
      <c r="D90" s="411"/>
      <c r="E90" s="411"/>
      <c r="F90" s="411"/>
    </row>
    <row r="91" spans="1:6" ht="21.75">
      <c r="A91" s="411" t="s">
        <v>336</v>
      </c>
      <c r="B91" s="411"/>
      <c r="C91" s="411"/>
      <c r="D91" s="411"/>
      <c r="E91" s="411"/>
      <c r="F91" s="411"/>
    </row>
    <row r="92" spans="1:6" ht="21.75">
      <c r="A92" s="411" t="s">
        <v>684</v>
      </c>
      <c r="B92" s="411"/>
      <c r="C92" s="411"/>
      <c r="D92" s="411"/>
      <c r="E92" s="411"/>
      <c r="F92" s="411"/>
    </row>
    <row r="93" spans="1:8" ht="21.75">
      <c r="A93" s="411"/>
      <c r="B93" s="411"/>
      <c r="C93" s="411"/>
      <c r="D93" s="411"/>
      <c r="E93" s="411"/>
      <c r="F93" s="411"/>
      <c r="G93" s="16"/>
      <c r="H93" s="16"/>
    </row>
    <row r="94" spans="1:4" ht="21.75">
      <c r="A94" s="16"/>
      <c r="B94" s="16"/>
      <c r="C94" s="16"/>
      <c r="D94" s="16"/>
    </row>
    <row r="95" ht="21.75">
      <c r="D95" s="14"/>
    </row>
  </sheetData>
  <mergeCells count="10">
    <mergeCell ref="A1:F1"/>
    <mergeCell ref="A2:F2"/>
    <mergeCell ref="A3:F3"/>
    <mergeCell ref="A5:B6"/>
    <mergeCell ref="D5:D6"/>
    <mergeCell ref="E5:E6"/>
    <mergeCell ref="A92:F92"/>
    <mergeCell ref="A93:F93"/>
    <mergeCell ref="A90:F90"/>
    <mergeCell ref="A91:F91"/>
  </mergeCells>
  <printOptions/>
  <pageMargins left="0.35433070866141736" right="0.2755905511811024" top="0.5118110236220472" bottom="0.5511811023622047" header="0.5118110236220472" footer="0.4724409448818898"/>
  <pageSetup horizontalDpi="300" verticalDpi="300" orientation="portrait" paperSize="9" r:id="rId2"/>
  <headerFooter alignWithMargins="0">
    <oddHeader>&amp;Rหน้าที่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D17" sqref="D17"/>
    </sheetView>
  </sheetViews>
  <sheetFormatPr defaultColWidth="9.140625" defaultRowHeight="21.75"/>
  <cols>
    <col min="1" max="1" width="18.7109375" style="0" customWidth="1"/>
    <col min="2" max="2" width="15.140625" style="0" customWidth="1"/>
    <col min="3" max="3" width="16.421875" style="0" customWidth="1"/>
    <col min="4" max="4" width="13.7109375" style="0" customWidth="1"/>
    <col min="5" max="5" width="13.57421875" style="0" customWidth="1"/>
    <col min="6" max="6" width="14.140625" style="0" customWidth="1"/>
    <col min="7" max="7" width="13.57421875" style="0" customWidth="1"/>
    <col min="8" max="8" width="14.421875" style="0" customWidth="1"/>
    <col min="9" max="9" width="12.8515625" style="0" customWidth="1"/>
    <col min="10" max="10" width="11.7109375" style="0" customWidth="1"/>
    <col min="11" max="11" width="14.7109375" style="0" customWidth="1"/>
    <col min="12" max="12" width="13.8515625" style="0" customWidth="1"/>
    <col min="13" max="13" width="12.8515625" style="0" customWidth="1"/>
  </cols>
  <sheetData>
    <row r="1" spans="1:12" ht="21.75">
      <c r="A1" s="368" t="s">
        <v>687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3" spans="1:12" ht="21.75">
      <c r="A3" s="330" t="s">
        <v>698</v>
      </c>
      <c r="B3" s="365" t="s">
        <v>697</v>
      </c>
      <c r="C3" s="366"/>
      <c r="D3" s="366"/>
      <c r="E3" s="366"/>
      <c r="F3" s="366"/>
      <c r="G3" s="366"/>
      <c r="H3" s="366"/>
      <c r="I3" s="366"/>
      <c r="J3" s="366"/>
      <c r="K3" s="367"/>
      <c r="L3" s="330" t="s">
        <v>61</v>
      </c>
    </row>
    <row r="4" spans="1:12" ht="21.75">
      <c r="A4" s="338"/>
      <c r="B4" s="327" t="s">
        <v>29</v>
      </c>
      <c r="C4" s="327" t="s">
        <v>30</v>
      </c>
      <c r="D4" s="327" t="s">
        <v>67</v>
      </c>
      <c r="E4" s="327" t="s">
        <v>31</v>
      </c>
      <c r="F4" s="327" t="s">
        <v>32</v>
      </c>
      <c r="G4" s="327" t="s">
        <v>33</v>
      </c>
      <c r="H4" s="327" t="s">
        <v>34</v>
      </c>
      <c r="I4" s="327" t="s">
        <v>17</v>
      </c>
      <c r="J4" s="327" t="s">
        <v>35</v>
      </c>
      <c r="K4" s="337" t="s">
        <v>36</v>
      </c>
      <c r="L4" s="326"/>
    </row>
    <row r="5" spans="1:13" ht="21.75">
      <c r="A5" s="328" t="s">
        <v>696</v>
      </c>
      <c r="B5" s="331">
        <v>3364000</v>
      </c>
      <c r="C5" s="331">
        <v>2405600</v>
      </c>
      <c r="D5" s="331">
        <v>846800</v>
      </c>
      <c r="E5" s="331">
        <f>1800000+30000+50000+50000+100000+30000+300000</f>
        <v>2360000</v>
      </c>
      <c r="F5" s="331">
        <f>150000+100000+4440750+1974000</f>
        <v>6664750</v>
      </c>
      <c r="G5" s="331">
        <f>248300+20000+10000+10000+30000+300000+25000+50000+50000+50000</f>
        <v>793300</v>
      </c>
      <c r="H5" s="331">
        <v>445000</v>
      </c>
      <c r="I5" s="331">
        <v>35000</v>
      </c>
      <c r="J5" s="331">
        <v>206500</v>
      </c>
      <c r="K5" s="331"/>
      <c r="L5" s="341">
        <f aca="true" t="shared" si="0" ref="L5:L10">SUM(B5:K5)</f>
        <v>17120950</v>
      </c>
      <c r="M5" s="335"/>
    </row>
    <row r="6" spans="1:12" ht="21.75">
      <c r="A6" s="329" t="s">
        <v>688</v>
      </c>
      <c r="B6" s="332"/>
      <c r="C6" s="332">
        <v>795000</v>
      </c>
      <c r="D6" s="332">
        <v>580000</v>
      </c>
      <c r="E6" s="332">
        <f>10000+10000+50000+20000+200000</f>
        <v>290000</v>
      </c>
      <c r="F6" s="332">
        <f>100000+20000+50000+30000</f>
        <v>200000</v>
      </c>
      <c r="G6" s="332">
        <f>100000+5000+5000+5000+100000+20000+50000</f>
        <v>285000</v>
      </c>
      <c r="H6" s="332">
        <v>10000</v>
      </c>
      <c r="I6" s="332"/>
      <c r="J6" s="332"/>
      <c r="K6" s="332"/>
      <c r="L6" s="342">
        <f t="shared" si="0"/>
        <v>2160000</v>
      </c>
    </row>
    <row r="7" spans="1:12" ht="21.75">
      <c r="A7" s="329" t="s">
        <v>695</v>
      </c>
      <c r="B7" s="332"/>
      <c r="C7" s="332">
        <v>151680</v>
      </c>
      <c r="D7" s="332">
        <v>205680</v>
      </c>
      <c r="E7" s="332">
        <f>5000+10000+50000</f>
        <v>65000</v>
      </c>
      <c r="F7" s="332">
        <f>30000+50000+30000+1020430</f>
        <v>1130430</v>
      </c>
      <c r="G7" s="332">
        <f>20000+1000+25000+3000+80000+15000+25800+100000+1002600+182000+10000</f>
        <v>1464400</v>
      </c>
      <c r="H7" s="332">
        <v>1000</v>
      </c>
      <c r="I7" s="332">
        <v>957600</v>
      </c>
      <c r="J7" s="332">
        <v>30000</v>
      </c>
      <c r="K7" s="332"/>
      <c r="L7" s="342">
        <f t="shared" si="0"/>
        <v>4005790</v>
      </c>
    </row>
    <row r="8" spans="1:12" ht="21.75">
      <c r="A8" s="329" t="s">
        <v>689</v>
      </c>
      <c r="B8" s="332"/>
      <c r="C8" s="332">
        <v>474000</v>
      </c>
      <c r="D8" s="332">
        <v>1100000</v>
      </c>
      <c r="E8" s="332">
        <f>10000+80000+70000+20000+30000</f>
        <v>210000</v>
      </c>
      <c r="F8" s="332">
        <f>100000+250000+930000+30000+250000</f>
        <v>1560000</v>
      </c>
      <c r="G8" s="332">
        <f>30000+1500+30000+2000+75000+1000000+50000+5000+20000+15000+2000</f>
        <v>1230500</v>
      </c>
      <c r="H8" s="332">
        <v>2000</v>
      </c>
      <c r="I8" s="332">
        <v>150000</v>
      </c>
      <c r="J8" s="332">
        <v>5000</v>
      </c>
      <c r="K8" s="332"/>
      <c r="L8" s="342">
        <f t="shared" si="0"/>
        <v>4731500</v>
      </c>
    </row>
    <row r="9" spans="1:12" ht="21.75">
      <c r="A9" s="339" t="s">
        <v>690</v>
      </c>
      <c r="B9" s="334"/>
      <c r="C9" s="334">
        <v>891610</v>
      </c>
      <c r="D9" s="334">
        <v>475000</v>
      </c>
      <c r="E9" s="334">
        <f>60000+15000+30000+20000+30000</f>
        <v>155000</v>
      </c>
      <c r="F9" s="334">
        <f>200000+600000+40000</f>
        <v>840000</v>
      </c>
      <c r="G9" s="334">
        <f>50000+200000+10000+300000+10000+80000+15000+25000+10000</f>
        <v>700000</v>
      </c>
      <c r="H9" s="334">
        <v>5000</v>
      </c>
      <c r="I9" s="334">
        <v>536000</v>
      </c>
      <c r="J9" s="334"/>
      <c r="K9" s="334">
        <v>6349200</v>
      </c>
      <c r="L9" s="343">
        <f t="shared" si="0"/>
        <v>9951810</v>
      </c>
    </row>
    <row r="10" spans="1:12" ht="21.75">
      <c r="A10" s="327" t="s">
        <v>61</v>
      </c>
      <c r="B10" s="340">
        <f aca="true" t="shared" si="1" ref="B10:K10">SUM(B5:B9)</f>
        <v>3364000</v>
      </c>
      <c r="C10" s="340">
        <f t="shared" si="1"/>
        <v>4717890</v>
      </c>
      <c r="D10" s="340">
        <f t="shared" si="1"/>
        <v>3207480</v>
      </c>
      <c r="E10" s="340">
        <f t="shared" si="1"/>
        <v>3080000</v>
      </c>
      <c r="F10" s="340">
        <f t="shared" si="1"/>
        <v>10395180</v>
      </c>
      <c r="G10" s="340">
        <f t="shared" si="1"/>
        <v>4473200</v>
      </c>
      <c r="H10" s="340">
        <f t="shared" si="1"/>
        <v>463000</v>
      </c>
      <c r="I10" s="340">
        <f t="shared" si="1"/>
        <v>1678600</v>
      </c>
      <c r="J10" s="340">
        <f t="shared" si="1"/>
        <v>241500</v>
      </c>
      <c r="K10" s="340">
        <f t="shared" si="1"/>
        <v>6349200</v>
      </c>
      <c r="L10" s="336">
        <f t="shared" si="0"/>
        <v>37970050</v>
      </c>
    </row>
    <row r="13" spans="1:13" ht="21.75">
      <c r="A13" s="330" t="s">
        <v>697</v>
      </c>
      <c r="B13" s="330" t="s">
        <v>699</v>
      </c>
      <c r="C13" s="330" t="s">
        <v>2</v>
      </c>
      <c r="D13" s="369" t="s">
        <v>692</v>
      </c>
      <c r="E13" s="369"/>
      <c r="F13" s="369" t="s">
        <v>693</v>
      </c>
      <c r="G13" s="369"/>
      <c r="H13" s="369" t="s">
        <v>694</v>
      </c>
      <c r="I13" s="369"/>
      <c r="J13" s="369" t="s">
        <v>691</v>
      </c>
      <c r="K13" s="369"/>
      <c r="L13" s="365" t="s">
        <v>61</v>
      </c>
      <c r="M13" s="367"/>
    </row>
    <row r="14" spans="1:13" ht="21.75">
      <c r="A14" s="338"/>
      <c r="B14" s="338"/>
      <c r="C14" s="338"/>
      <c r="D14" s="327" t="s">
        <v>466</v>
      </c>
      <c r="E14" s="327" t="s">
        <v>467</v>
      </c>
      <c r="F14" s="327" t="s">
        <v>466</v>
      </c>
      <c r="G14" s="327" t="s">
        <v>467</v>
      </c>
      <c r="H14" s="327" t="s">
        <v>466</v>
      </c>
      <c r="I14" s="327" t="s">
        <v>467</v>
      </c>
      <c r="J14" s="327" t="s">
        <v>466</v>
      </c>
      <c r="K14" s="327" t="s">
        <v>467</v>
      </c>
      <c r="L14" s="327" t="s">
        <v>466</v>
      </c>
      <c r="M14" s="327" t="s">
        <v>467</v>
      </c>
    </row>
    <row r="15" spans="1:13" ht="21.75">
      <c r="A15" s="344" t="s">
        <v>29</v>
      </c>
      <c r="B15" s="331">
        <v>3364000</v>
      </c>
      <c r="C15" s="331">
        <f>B15</f>
        <v>3364000</v>
      </c>
      <c r="D15" s="331"/>
      <c r="E15" s="331"/>
      <c r="F15" s="331"/>
      <c r="G15" s="331"/>
      <c r="H15" s="331"/>
      <c r="I15" s="331"/>
      <c r="J15" s="331"/>
      <c r="K15" s="331"/>
      <c r="L15" s="331"/>
      <c r="M15" s="328"/>
    </row>
    <row r="16" spans="1:13" ht="21.75">
      <c r="A16" s="345" t="s">
        <v>30</v>
      </c>
      <c r="B16" s="332">
        <v>4717890</v>
      </c>
      <c r="C16" s="332">
        <f>B16+L16-M16</f>
        <v>4781715.81</v>
      </c>
      <c r="D16" s="332"/>
      <c r="E16" s="332"/>
      <c r="F16" s="332">
        <v>70000</v>
      </c>
      <c r="G16" s="332"/>
      <c r="H16" s="332"/>
      <c r="I16" s="332">
        <v>6174.19</v>
      </c>
      <c r="J16" s="332"/>
      <c r="K16" s="332"/>
      <c r="L16" s="332">
        <f>F16</f>
        <v>70000</v>
      </c>
      <c r="M16" s="342">
        <f>I16</f>
        <v>6174.19</v>
      </c>
    </row>
    <row r="17" spans="1:13" ht="21.75">
      <c r="A17" s="345" t="s">
        <v>67</v>
      </c>
      <c r="B17" s="332">
        <v>3207480</v>
      </c>
      <c r="C17" s="332">
        <f>B17+L17-M17</f>
        <v>3009000</v>
      </c>
      <c r="D17" s="332"/>
      <c r="E17" s="332"/>
      <c r="F17" s="332"/>
      <c r="G17" s="332"/>
      <c r="H17" s="332"/>
      <c r="I17" s="332">
        <f>100000+98480</f>
        <v>198480</v>
      </c>
      <c r="J17" s="332"/>
      <c r="K17" s="332"/>
      <c r="L17" s="332"/>
      <c r="M17" s="342">
        <f>I17</f>
        <v>198480</v>
      </c>
    </row>
    <row r="18" spans="1:13" ht="21.75">
      <c r="A18" s="345" t="s">
        <v>31</v>
      </c>
      <c r="B18" s="332">
        <v>3080000</v>
      </c>
      <c r="C18" s="332">
        <f aca="true" t="shared" si="2" ref="C18:C24">B18+L18-M18</f>
        <v>3086403.19</v>
      </c>
      <c r="D18" s="332"/>
      <c r="E18" s="332"/>
      <c r="F18" s="332">
        <v>30000</v>
      </c>
      <c r="G18" s="332"/>
      <c r="H18" s="332">
        <v>40000</v>
      </c>
      <c r="I18" s="332">
        <f>46696.81+1900+15000</f>
        <v>63596.81</v>
      </c>
      <c r="J18" s="332"/>
      <c r="K18" s="332"/>
      <c r="L18" s="332">
        <f>F18+H18</f>
        <v>70000</v>
      </c>
      <c r="M18" s="342">
        <f>I18</f>
        <v>63596.81</v>
      </c>
    </row>
    <row r="19" spans="1:13" ht="21.75">
      <c r="A19" s="345" t="s">
        <v>32</v>
      </c>
      <c r="B19" s="332">
        <v>10395180</v>
      </c>
      <c r="C19" s="332">
        <f t="shared" si="2"/>
        <v>10748720.71</v>
      </c>
      <c r="D19" s="332">
        <v>100000</v>
      </c>
      <c r="E19" s="332">
        <v>100000</v>
      </c>
      <c r="F19" s="332">
        <v>50000</v>
      </c>
      <c r="G19" s="332"/>
      <c r="H19" s="332">
        <f>100000+150000+50000+111198.71+200000+20000</f>
        <v>631198.71</v>
      </c>
      <c r="I19" s="332">
        <f>87658+200000+40000</f>
        <v>327658</v>
      </c>
      <c r="J19" s="332"/>
      <c r="K19" s="332"/>
      <c r="L19" s="332">
        <f>D19+F19+H19</f>
        <v>781198.71</v>
      </c>
      <c r="M19" s="342">
        <f>E19+I19</f>
        <v>427658</v>
      </c>
    </row>
    <row r="20" spans="1:13" ht="21.75">
      <c r="A20" s="345" t="s">
        <v>33</v>
      </c>
      <c r="B20" s="332">
        <v>4473200</v>
      </c>
      <c r="C20" s="332">
        <f t="shared" si="2"/>
        <v>4277910.29</v>
      </c>
      <c r="D20" s="332"/>
      <c r="E20" s="332"/>
      <c r="F20" s="332">
        <v>50000</v>
      </c>
      <c r="G20" s="332">
        <f>100000+100000</f>
        <v>200000</v>
      </c>
      <c r="H20" s="332">
        <f>20000+10000+20000+50000+50000</f>
        <v>150000</v>
      </c>
      <c r="I20" s="332">
        <f>175289.71+20000</f>
        <v>195289.71</v>
      </c>
      <c r="J20" s="332"/>
      <c r="K20" s="332"/>
      <c r="L20" s="332">
        <f>F20+H20</f>
        <v>200000</v>
      </c>
      <c r="M20" s="342">
        <f>G20+I20</f>
        <v>395289.70999999996</v>
      </c>
    </row>
    <row r="21" spans="1:13" ht="21.75">
      <c r="A21" s="345" t="s">
        <v>34</v>
      </c>
      <c r="B21" s="332">
        <v>463000</v>
      </c>
      <c r="C21" s="332">
        <f t="shared" si="2"/>
        <v>433000</v>
      </c>
      <c r="D21" s="332"/>
      <c r="E21" s="332"/>
      <c r="F21" s="332"/>
      <c r="G21" s="332"/>
      <c r="H21" s="332"/>
      <c r="I21" s="332">
        <v>30000</v>
      </c>
      <c r="J21" s="332"/>
      <c r="K21" s="332"/>
      <c r="L21" s="332"/>
      <c r="M21" s="342">
        <f>I21</f>
        <v>30000</v>
      </c>
    </row>
    <row r="22" spans="1:13" ht="21.75">
      <c r="A22" s="345" t="s">
        <v>17</v>
      </c>
      <c r="B22" s="332">
        <v>1678600</v>
      </c>
      <c r="C22" s="332">
        <f t="shared" si="2"/>
        <v>2226994.79</v>
      </c>
      <c r="D22" s="332"/>
      <c r="E22" s="332"/>
      <c r="F22" s="332"/>
      <c r="G22" s="332"/>
      <c r="H22" s="332"/>
      <c r="I22" s="332"/>
      <c r="J22" s="332">
        <f>45695.42+25071.17+103460.44+24690.25+50728+298749.51</f>
        <v>548394.79</v>
      </c>
      <c r="K22" s="332"/>
      <c r="L22" s="332">
        <f>J22</f>
        <v>548394.79</v>
      </c>
      <c r="M22" s="329"/>
    </row>
    <row r="23" spans="1:13" ht="21.75">
      <c r="A23" s="345" t="s">
        <v>35</v>
      </c>
      <c r="B23" s="332">
        <v>241500</v>
      </c>
      <c r="C23" s="332">
        <f t="shared" si="2"/>
        <v>241500</v>
      </c>
      <c r="D23" s="332"/>
      <c r="E23" s="332"/>
      <c r="F23" s="332"/>
      <c r="G23" s="332"/>
      <c r="H23" s="332"/>
      <c r="I23" s="332"/>
      <c r="J23" s="332"/>
      <c r="K23" s="332"/>
      <c r="L23" s="332"/>
      <c r="M23" s="329"/>
    </row>
    <row r="24" spans="1:13" ht="21.75">
      <c r="A24" s="346" t="s">
        <v>36</v>
      </c>
      <c r="B24" s="334">
        <v>6349200</v>
      </c>
      <c r="C24" s="332">
        <f t="shared" si="2"/>
        <v>5800805.21</v>
      </c>
      <c r="D24" s="334"/>
      <c r="E24" s="334"/>
      <c r="F24" s="334"/>
      <c r="G24" s="334"/>
      <c r="H24" s="334"/>
      <c r="I24" s="334"/>
      <c r="J24" s="334"/>
      <c r="K24" s="334">
        <v>548394.79</v>
      </c>
      <c r="L24" s="334"/>
      <c r="M24" s="343">
        <f>K24</f>
        <v>548394.79</v>
      </c>
    </row>
    <row r="25" spans="1:13" ht="21.75">
      <c r="A25" s="347" t="s">
        <v>61</v>
      </c>
      <c r="B25" s="340">
        <f aca="true" t="shared" si="3" ref="B25:K25">SUM(B15:B24)</f>
        <v>37970050</v>
      </c>
      <c r="C25" s="340">
        <f t="shared" si="3"/>
        <v>37970050</v>
      </c>
      <c r="D25" s="340">
        <f t="shared" si="3"/>
        <v>100000</v>
      </c>
      <c r="E25" s="340">
        <f t="shared" si="3"/>
        <v>100000</v>
      </c>
      <c r="F25" s="340">
        <f t="shared" si="3"/>
        <v>200000</v>
      </c>
      <c r="G25" s="340">
        <f t="shared" si="3"/>
        <v>200000</v>
      </c>
      <c r="H25" s="340">
        <f t="shared" si="3"/>
        <v>821198.71</v>
      </c>
      <c r="I25" s="340">
        <f t="shared" si="3"/>
        <v>821198.71</v>
      </c>
      <c r="J25" s="340">
        <f t="shared" si="3"/>
        <v>548394.79</v>
      </c>
      <c r="K25" s="340">
        <f t="shared" si="3"/>
        <v>548394.79</v>
      </c>
      <c r="L25" s="340">
        <f>SUM(L16:L24)</f>
        <v>1669593.5</v>
      </c>
      <c r="M25" s="336">
        <f>SUM(M16:M24)</f>
        <v>1669593.5</v>
      </c>
    </row>
    <row r="26" spans="2:12" ht="21.75"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</row>
  </sheetData>
  <mergeCells count="7">
    <mergeCell ref="B3:K3"/>
    <mergeCell ref="L13:M13"/>
    <mergeCell ref="A1:L1"/>
    <mergeCell ref="D13:E13"/>
    <mergeCell ref="F13:G13"/>
    <mergeCell ref="H13:I13"/>
    <mergeCell ref="J13:K13"/>
  </mergeCells>
  <printOptions/>
  <pageMargins left="0.49" right="0.46" top="0.63" bottom="0.54" header="0.5" footer="0.42"/>
  <pageSetup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E29" sqref="E29"/>
    </sheetView>
  </sheetViews>
  <sheetFormatPr defaultColWidth="9.140625" defaultRowHeight="21.75"/>
  <cols>
    <col min="1" max="1" width="11.28125" style="1" customWidth="1"/>
    <col min="2" max="2" width="59.7109375" style="1" customWidth="1"/>
    <col min="3" max="3" width="18.8515625" style="1" customWidth="1"/>
    <col min="4" max="16384" width="9.140625" style="1" customWidth="1"/>
  </cols>
  <sheetData>
    <row r="1" spans="1:3" ht="23.25">
      <c r="A1" s="361" t="s">
        <v>257</v>
      </c>
      <c r="B1" s="361"/>
      <c r="C1" s="361"/>
    </row>
    <row r="2" spans="1:3" ht="23.25">
      <c r="A2" s="361" t="s">
        <v>0</v>
      </c>
      <c r="B2" s="361"/>
      <c r="C2" s="361"/>
    </row>
    <row r="3" spans="1:3" ht="23.25">
      <c r="A3" s="361" t="s">
        <v>271</v>
      </c>
      <c r="B3" s="361"/>
      <c r="C3" s="361"/>
    </row>
    <row r="4" spans="1:3" ht="23.25">
      <c r="A4" s="361" t="s">
        <v>598</v>
      </c>
      <c r="B4" s="361"/>
      <c r="C4" s="361"/>
    </row>
    <row r="6" ht="23.25">
      <c r="A6" s="1" t="s">
        <v>280</v>
      </c>
    </row>
    <row r="8" spans="1:3" s="5" customFormat="1" ht="23.25">
      <c r="A8" s="5" t="s">
        <v>70</v>
      </c>
      <c r="B8" s="5" t="s">
        <v>5</v>
      </c>
      <c r="C8" s="5" t="s">
        <v>71</v>
      </c>
    </row>
    <row r="9" spans="1:3" ht="23.25">
      <c r="A9" s="5">
        <v>1</v>
      </c>
      <c r="B9" s="1" t="s">
        <v>428</v>
      </c>
      <c r="C9" s="12">
        <v>73713.8</v>
      </c>
    </row>
    <row r="10" spans="1:3" ht="23.25">
      <c r="A10" s="5">
        <v>2</v>
      </c>
      <c r="B10" s="1" t="s">
        <v>427</v>
      </c>
      <c r="C10" s="48">
        <v>17828627.69</v>
      </c>
    </row>
    <row r="11" spans="1:3" ht="23.25">
      <c r="A11" s="5">
        <v>3</v>
      </c>
      <c r="B11" s="1" t="s">
        <v>474</v>
      </c>
      <c r="C11" s="12">
        <v>8805594.12</v>
      </c>
    </row>
    <row r="12" spans="1:3" ht="23.25">
      <c r="A12" s="5">
        <v>4</v>
      </c>
      <c r="B12" s="1" t="s">
        <v>281</v>
      </c>
      <c r="C12" s="12">
        <v>201844.95</v>
      </c>
    </row>
    <row r="13" spans="1:3" ht="23.25">
      <c r="A13" s="5">
        <v>5</v>
      </c>
      <c r="B13" s="1" t="s">
        <v>133</v>
      </c>
      <c r="C13" s="201">
        <v>402393.76</v>
      </c>
    </row>
    <row r="14" spans="2:3" ht="25.5">
      <c r="B14" s="2" t="s">
        <v>282</v>
      </c>
      <c r="C14" s="60">
        <f>SUM(C9:C13)</f>
        <v>27312174.32</v>
      </c>
    </row>
    <row r="15" spans="2:3" ht="25.5">
      <c r="B15" s="2"/>
      <c r="C15" s="60"/>
    </row>
    <row r="16" spans="2:3" ht="25.5">
      <c r="B16" s="2"/>
      <c r="C16" s="60"/>
    </row>
    <row r="17" spans="2:3" ht="23.25">
      <c r="B17" s="2"/>
      <c r="C17" s="15"/>
    </row>
    <row r="18" spans="1:4" ht="23.25">
      <c r="A18" s="199"/>
      <c r="B18" s="199"/>
      <c r="C18" s="250"/>
      <c r="D18" s="199"/>
    </row>
    <row r="19" spans="1:4" ht="23.25">
      <c r="A19" s="359" t="s">
        <v>367</v>
      </c>
      <c r="B19" s="359"/>
      <c r="C19" s="359"/>
      <c r="D19" s="249"/>
    </row>
    <row r="20" spans="1:4" ht="23.25">
      <c r="A20" s="359" t="s">
        <v>560</v>
      </c>
      <c r="B20" s="359"/>
      <c r="C20" s="359"/>
      <c r="D20" s="249"/>
    </row>
    <row r="21" spans="1:4" ht="23.25">
      <c r="A21" s="370" t="s">
        <v>561</v>
      </c>
      <c r="B21" s="370"/>
      <c r="C21" s="370"/>
      <c r="D21" s="5"/>
    </row>
    <row r="22" spans="1:4" ht="23.25">
      <c r="A22" s="370" t="s">
        <v>562</v>
      </c>
      <c r="B22" s="370"/>
      <c r="C22" s="370"/>
      <c r="D22" s="5"/>
    </row>
    <row r="23" spans="1:4" ht="23.25">
      <c r="A23" s="5"/>
      <c r="B23" s="5"/>
      <c r="C23" s="5"/>
      <c r="D23" s="5"/>
    </row>
    <row r="24" spans="1:4" ht="23.25">
      <c r="A24" s="5"/>
      <c r="B24" s="5"/>
      <c r="C24" s="5"/>
      <c r="D24" s="5"/>
    </row>
    <row r="25" spans="1:4" ht="23.25">
      <c r="A25" s="370" t="s">
        <v>470</v>
      </c>
      <c r="B25" s="370"/>
      <c r="C25" s="370"/>
      <c r="D25" s="5"/>
    </row>
    <row r="26" spans="1:4" ht="23.25">
      <c r="A26" s="370" t="s">
        <v>336</v>
      </c>
      <c r="B26" s="370"/>
      <c r="C26" s="370"/>
      <c r="D26" s="5"/>
    </row>
    <row r="27" spans="1:4" ht="23.25">
      <c r="A27" s="370" t="s">
        <v>563</v>
      </c>
      <c r="B27" s="370"/>
      <c r="C27" s="370"/>
      <c r="D27" s="5"/>
    </row>
    <row r="28" spans="1:4" ht="23.25">
      <c r="A28" s="199"/>
      <c r="B28" s="199"/>
      <c r="C28" s="251"/>
      <c r="D28" s="251"/>
    </row>
    <row r="29" spans="1:4" ht="23.25">
      <c r="A29" s="5"/>
      <c r="B29" s="5"/>
      <c r="C29" s="5"/>
      <c r="D29" s="5"/>
    </row>
    <row r="30" spans="1:4" ht="23.25">
      <c r="A30" s="370" t="s">
        <v>564</v>
      </c>
      <c r="B30" s="370"/>
      <c r="C30" s="370"/>
      <c r="D30" s="5"/>
    </row>
    <row r="31" spans="1:4" ht="23.25">
      <c r="A31" s="370" t="s">
        <v>565</v>
      </c>
      <c r="B31" s="370"/>
      <c r="C31" s="370"/>
      <c r="D31" s="5"/>
    </row>
    <row r="32" spans="1:4" ht="23.25">
      <c r="A32" s="370" t="s">
        <v>293</v>
      </c>
      <c r="B32" s="370"/>
      <c r="C32" s="370"/>
      <c r="D32" s="5"/>
    </row>
    <row r="33" spans="1:4" ht="23.25">
      <c r="A33" s="199"/>
      <c r="B33" s="199"/>
      <c r="C33" s="199"/>
      <c r="D33" s="199"/>
    </row>
    <row r="34" spans="1:4" ht="23.25">
      <c r="A34" s="199"/>
      <c r="B34" s="199"/>
      <c r="C34" s="199"/>
      <c r="D34" s="199"/>
    </row>
    <row r="35" spans="1:4" ht="23.25">
      <c r="A35" s="199"/>
      <c r="B35" s="199"/>
      <c r="C35" s="199"/>
      <c r="D35" s="199"/>
    </row>
  </sheetData>
  <mergeCells count="14">
    <mergeCell ref="A20:C20"/>
    <mergeCell ref="A26:C26"/>
    <mergeCell ref="A19:C19"/>
    <mergeCell ref="A22:C22"/>
    <mergeCell ref="A25:C25"/>
    <mergeCell ref="A1:C1"/>
    <mergeCell ref="A2:C2"/>
    <mergeCell ref="A3:C3"/>
    <mergeCell ref="A4:C4"/>
    <mergeCell ref="A32:C32"/>
    <mergeCell ref="A27:C27"/>
    <mergeCell ref="A31:C31"/>
    <mergeCell ref="A21:C21"/>
    <mergeCell ref="A30:C30"/>
  </mergeCells>
  <printOptions/>
  <pageMargins left="0.67" right="0.53" top="0.79" bottom="0.7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E19" sqref="E19"/>
    </sheetView>
  </sheetViews>
  <sheetFormatPr defaultColWidth="9.140625" defaultRowHeight="21.75"/>
  <cols>
    <col min="1" max="1" width="7.140625" style="159" customWidth="1"/>
    <col min="2" max="2" width="14.57421875" style="159" customWidth="1"/>
    <col min="3" max="3" width="16.00390625" style="159" customWidth="1"/>
    <col min="4" max="4" width="12.8515625" style="159" customWidth="1"/>
    <col min="5" max="5" width="18.421875" style="159" customWidth="1"/>
    <col min="6" max="6" width="5.421875" style="159" customWidth="1"/>
    <col min="7" max="7" width="20.8515625" style="159" customWidth="1"/>
    <col min="8" max="16384" width="9.140625" style="159" customWidth="1"/>
  </cols>
  <sheetData>
    <row r="1" spans="1:7" ht="23.25">
      <c r="A1" s="374" t="s">
        <v>655</v>
      </c>
      <c r="B1" s="374"/>
      <c r="C1" s="374"/>
      <c r="D1" s="374"/>
      <c r="E1" s="374"/>
      <c r="F1" s="374"/>
      <c r="G1" s="374"/>
    </row>
    <row r="2" spans="1:7" ht="23.25">
      <c r="A2" s="374" t="s">
        <v>656</v>
      </c>
      <c r="B2" s="374"/>
      <c r="C2" s="374"/>
      <c r="D2" s="374"/>
      <c r="E2" s="374"/>
      <c r="F2" s="374"/>
      <c r="G2" s="374"/>
    </row>
    <row r="3" spans="1:7" ht="16.5" customHeight="1">
      <c r="A3" s="236"/>
      <c r="B3" s="236"/>
      <c r="C3" s="236"/>
      <c r="D3" s="236"/>
      <c r="E3" s="236"/>
      <c r="F3" s="236"/>
      <c r="G3" s="236"/>
    </row>
    <row r="4" spans="1:7" ht="21">
      <c r="A4" s="375" t="s">
        <v>70</v>
      </c>
      <c r="B4" s="375" t="s">
        <v>657</v>
      </c>
      <c r="C4" s="375"/>
      <c r="D4" s="375" t="s">
        <v>658</v>
      </c>
      <c r="E4" s="352" t="s">
        <v>623</v>
      </c>
      <c r="F4" s="352"/>
      <c r="G4" s="375" t="s">
        <v>659</v>
      </c>
    </row>
    <row r="5" spans="1:7" ht="21">
      <c r="A5" s="376"/>
      <c r="B5" s="376"/>
      <c r="C5" s="376"/>
      <c r="D5" s="376"/>
      <c r="E5" s="215" t="s">
        <v>3</v>
      </c>
      <c r="F5" s="215" t="s">
        <v>660</v>
      </c>
      <c r="G5" s="376"/>
    </row>
    <row r="6" spans="1:7" ht="21">
      <c r="A6" s="160">
        <v>1</v>
      </c>
      <c r="B6" s="301" t="s">
        <v>661</v>
      </c>
      <c r="C6" s="302" t="s">
        <v>444</v>
      </c>
      <c r="D6" s="160">
        <v>2552</v>
      </c>
      <c r="E6" s="303">
        <v>1500</v>
      </c>
      <c r="F6" s="304" t="s">
        <v>520</v>
      </c>
      <c r="G6" s="305" t="s">
        <v>662</v>
      </c>
    </row>
    <row r="7" spans="1:7" ht="21">
      <c r="A7" s="172"/>
      <c r="B7" s="306"/>
      <c r="C7" s="307"/>
      <c r="D7" s="172"/>
      <c r="E7" s="172"/>
      <c r="F7" s="172"/>
      <c r="G7" s="172"/>
    </row>
    <row r="8" spans="1:7" ht="21">
      <c r="A8" s="371" t="s">
        <v>663</v>
      </c>
      <c r="B8" s="372"/>
      <c r="C8" s="372"/>
      <c r="D8" s="373"/>
      <c r="E8" s="308">
        <v>1500</v>
      </c>
      <c r="F8" s="309" t="s">
        <v>520</v>
      </c>
      <c r="G8" s="310"/>
    </row>
    <row r="12" spans="2:5" ht="21">
      <c r="B12" s="159" t="s">
        <v>664</v>
      </c>
      <c r="E12" s="159" t="s">
        <v>665</v>
      </c>
    </row>
    <row r="13" spans="2:5" ht="21">
      <c r="B13" s="159" t="s">
        <v>666</v>
      </c>
      <c r="E13" s="159" t="s">
        <v>667</v>
      </c>
    </row>
    <row r="14" spans="1:5" ht="21">
      <c r="A14" s="159" t="s">
        <v>668</v>
      </c>
      <c r="E14" s="159" t="s">
        <v>669</v>
      </c>
    </row>
    <row r="15" ht="21">
      <c r="B15" s="159" t="s">
        <v>615</v>
      </c>
    </row>
    <row r="19" ht="21">
      <c r="C19" s="159" t="s">
        <v>670</v>
      </c>
    </row>
    <row r="20" ht="21">
      <c r="C20" s="159" t="s">
        <v>671</v>
      </c>
    </row>
    <row r="21" ht="21">
      <c r="C21" s="159" t="s">
        <v>672</v>
      </c>
    </row>
  </sheetData>
  <mergeCells count="8">
    <mergeCell ref="A8:D8"/>
    <mergeCell ref="A1:G1"/>
    <mergeCell ref="A2:G2"/>
    <mergeCell ref="A4:A5"/>
    <mergeCell ref="B4:C5"/>
    <mergeCell ref="D4:D5"/>
    <mergeCell ref="E4:F4"/>
    <mergeCell ref="G4:G5"/>
  </mergeCells>
  <printOptions/>
  <pageMargins left="0.9" right="0.28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7"/>
  <sheetViews>
    <sheetView workbookViewId="0" topLeftCell="B64">
      <selection activeCell="A92" sqref="A92:L92"/>
    </sheetView>
  </sheetViews>
  <sheetFormatPr defaultColWidth="9.140625" defaultRowHeight="21.75"/>
  <cols>
    <col min="1" max="1" width="3.8515625" style="0" customWidth="1"/>
    <col min="2" max="2" width="14.140625" style="0" customWidth="1"/>
    <col min="3" max="3" width="12.140625" style="0" customWidth="1"/>
    <col min="4" max="4" width="6.421875" style="0" customWidth="1"/>
    <col min="5" max="5" width="6.57421875" style="0" customWidth="1"/>
    <col min="6" max="6" width="10.00390625" style="0" customWidth="1"/>
    <col min="7" max="7" width="8.57421875" style="0" customWidth="1"/>
    <col min="8" max="8" width="10.28125" style="0" customWidth="1"/>
    <col min="10" max="10" width="6.57421875" style="0" customWidth="1"/>
    <col min="11" max="11" width="6.8515625" style="0" customWidth="1"/>
    <col min="12" max="12" width="10.7109375" style="0" customWidth="1"/>
  </cols>
  <sheetData>
    <row r="1" spans="1:12" ht="26.25">
      <c r="A1" s="381" t="s">
        <v>378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2"/>
    </row>
    <row r="2" spans="1:12" ht="26.25">
      <c r="A2" s="381" t="s">
        <v>619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2"/>
    </row>
    <row r="3" spans="1:12" ht="26.25">
      <c r="A3" s="383" t="s">
        <v>620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</row>
    <row r="4" spans="1:12" ht="21.75">
      <c r="A4" s="160" t="s">
        <v>621</v>
      </c>
      <c r="B4" s="349" t="s">
        <v>302</v>
      </c>
      <c r="C4" s="351" t="s">
        <v>303</v>
      </c>
      <c r="D4" s="375" t="s">
        <v>254</v>
      </c>
      <c r="E4" s="375" t="s">
        <v>304</v>
      </c>
      <c r="F4" s="375" t="s">
        <v>305</v>
      </c>
      <c r="G4" s="375" t="s">
        <v>306</v>
      </c>
      <c r="H4" s="375" t="s">
        <v>307</v>
      </c>
      <c r="I4" s="160" t="s">
        <v>622</v>
      </c>
      <c r="J4" s="262">
        <v>0.05</v>
      </c>
      <c r="K4" s="262">
        <v>0.06</v>
      </c>
      <c r="L4" s="160" t="s">
        <v>623</v>
      </c>
    </row>
    <row r="5" spans="1:12" ht="21.75">
      <c r="A5" s="215" t="s">
        <v>624</v>
      </c>
      <c r="B5" s="350"/>
      <c r="C5" s="377"/>
      <c r="D5" s="376"/>
      <c r="E5" s="376"/>
      <c r="F5" s="376"/>
      <c r="G5" s="376"/>
      <c r="H5" s="376"/>
      <c r="I5" s="263">
        <v>0.89</v>
      </c>
      <c r="J5" s="263"/>
      <c r="K5" s="263"/>
      <c r="L5" s="215" t="s">
        <v>625</v>
      </c>
    </row>
    <row r="6" spans="1:12" ht="21.75">
      <c r="A6" s="161">
        <v>1</v>
      </c>
      <c r="B6" s="264" t="s">
        <v>430</v>
      </c>
      <c r="C6" s="265" t="s">
        <v>431</v>
      </c>
      <c r="D6" s="161">
        <v>15</v>
      </c>
      <c r="E6" s="161">
        <v>1</v>
      </c>
      <c r="F6" s="161" t="s">
        <v>308</v>
      </c>
      <c r="G6" s="161" t="s">
        <v>309</v>
      </c>
      <c r="H6" s="161" t="s">
        <v>310</v>
      </c>
      <c r="I6" s="266">
        <v>33.6954</v>
      </c>
      <c r="J6" s="266">
        <v>1.89</v>
      </c>
      <c r="K6" s="266">
        <v>2.27</v>
      </c>
      <c r="L6" s="267">
        <v>37.86</v>
      </c>
    </row>
    <row r="7" spans="1:12" ht="21.75">
      <c r="A7" s="165">
        <v>2</v>
      </c>
      <c r="B7" s="163" t="s">
        <v>432</v>
      </c>
      <c r="C7" s="164" t="s">
        <v>433</v>
      </c>
      <c r="D7" s="165">
        <v>40</v>
      </c>
      <c r="E7" s="165">
        <v>3</v>
      </c>
      <c r="F7" s="165" t="s">
        <v>308</v>
      </c>
      <c r="G7" s="165" t="s">
        <v>309</v>
      </c>
      <c r="H7" s="165" t="s">
        <v>310</v>
      </c>
      <c r="I7" s="268">
        <v>10.3062</v>
      </c>
      <c r="J7" s="268">
        <v>0.58</v>
      </c>
      <c r="K7" s="268">
        <v>0.69</v>
      </c>
      <c r="L7" s="166">
        <v>11.58</v>
      </c>
    </row>
    <row r="8" spans="1:12" ht="21.75">
      <c r="A8" s="165">
        <v>3</v>
      </c>
      <c r="B8" s="163" t="s">
        <v>437</v>
      </c>
      <c r="C8" s="164" t="s">
        <v>438</v>
      </c>
      <c r="D8" s="165">
        <v>25</v>
      </c>
      <c r="E8" s="165">
        <v>5</v>
      </c>
      <c r="F8" s="165" t="s">
        <v>308</v>
      </c>
      <c r="G8" s="165" t="s">
        <v>309</v>
      </c>
      <c r="H8" s="165" t="s">
        <v>310</v>
      </c>
      <c r="I8" s="268">
        <v>64.13</v>
      </c>
      <c r="J8" s="268">
        <v>3.6</v>
      </c>
      <c r="K8" s="268">
        <v>4.32</v>
      </c>
      <c r="L8" s="166">
        <v>72.05</v>
      </c>
    </row>
    <row r="9" spans="1:12" ht="21.75">
      <c r="A9" s="165">
        <v>4</v>
      </c>
      <c r="B9" s="163" t="s">
        <v>255</v>
      </c>
      <c r="C9" s="164" t="s">
        <v>256</v>
      </c>
      <c r="D9" s="165">
        <v>34</v>
      </c>
      <c r="E9" s="165">
        <v>8</v>
      </c>
      <c r="F9" s="165" t="s">
        <v>308</v>
      </c>
      <c r="G9" s="165" t="s">
        <v>309</v>
      </c>
      <c r="H9" s="165" t="s">
        <v>310</v>
      </c>
      <c r="I9" s="268">
        <v>24.564</v>
      </c>
      <c r="J9" s="268">
        <v>1.38</v>
      </c>
      <c r="K9" s="268">
        <v>1.66</v>
      </c>
      <c r="L9" s="168">
        <v>27.6</v>
      </c>
    </row>
    <row r="10" spans="1:12" ht="21.75">
      <c r="A10" s="165">
        <v>5</v>
      </c>
      <c r="B10" s="163" t="s">
        <v>313</v>
      </c>
      <c r="C10" s="164" t="s">
        <v>445</v>
      </c>
      <c r="D10" s="165">
        <v>2</v>
      </c>
      <c r="E10" s="165">
        <v>10</v>
      </c>
      <c r="F10" s="165" t="s">
        <v>308</v>
      </c>
      <c r="G10" s="165" t="s">
        <v>309</v>
      </c>
      <c r="H10" s="165" t="s">
        <v>310</v>
      </c>
      <c r="I10" s="268">
        <v>33.9535</v>
      </c>
      <c r="J10" s="268">
        <v>1.91</v>
      </c>
      <c r="K10" s="268">
        <v>2.29</v>
      </c>
      <c r="L10" s="168">
        <v>38.15</v>
      </c>
    </row>
    <row r="11" spans="1:12" ht="21.75">
      <c r="A11" s="165">
        <v>6</v>
      </c>
      <c r="B11" s="163" t="s">
        <v>446</v>
      </c>
      <c r="C11" s="164" t="s">
        <v>626</v>
      </c>
      <c r="D11" s="165">
        <v>75</v>
      </c>
      <c r="E11" s="165">
        <v>6</v>
      </c>
      <c r="F11" s="165" t="s">
        <v>447</v>
      </c>
      <c r="G11" s="165" t="s">
        <v>309</v>
      </c>
      <c r="H11" s="165" t="s">
        <v>310</v>
      </c>
      <c r="I11" s="268">
        <v>16.82</v>
      </c>
      <c r="J11" s="268">
        <v>0.94</v>
      </c>
      <c r="K11" s="268">
        <v>1.13</v>
      </c>
      <c r="L11" s="168">
        <v>18.89</v>
      </c>
    </row>
    <row r="12" spans="1:12" ht="21.75">
      <c r="A12" s="217">
        <v>7</v>
      </c>
      <c r="B12" s="228" t="s">
        <v>448</v>
      </c>
      <c r="C12" s="229" t="s">
        <v>449</v>
      </c>
      <c r="D12" s="227">
        <v>7</v>
      </c>
      <c r="E12" s="227">
        <v>4</v>
      </c>
      <c r="F12" s="269" t="s">
        <v>450</v>
      </c>
      <c r="G12" s="269" t="s">
        <v>450</v>
      </c>
      <c r="H12" s="227" t="s">
        <v>310</v>
      </c>
      <c r="I12" s="270">
        <v>8.606300000000001</v>
      </c>
      <c r="J12" s="270">
        <v>0.48</v>
      </c>
      <c r="K12" s="270">
        <v>0.58</v>
      </c>
      <c r="L12" s="230">
        <v>9.67</v>
      </c>
    </row>
    <row r="13" spans="1:12" ht="21.75">
      <c r="A13" s="380" t="s">
        <v>61</v>
      </c>
      <c r="B13" s="380"/>
      <c r="C13" s="380"/>
      <c r="D13" s="380"/>
      <c r="E13" s="380"/>
      <c r="F13" s="380"/>
      <c r="G13" s="380"/>
      <c r="H13" s="380"/>
      <c r="I13" s="271">
        <f>SUM(I6:I12)</f>
        <v>192.07539999999997</v>
      </c>
      <c r="J13" s="271">
        <f>SUM(J6:J12)</f>
        <v>10.78</v>
      </c>
      <c r="K13" s="271">
        <f>SUM(K6:K12)</f>
        <v>12.94</v>
      </c>
      <c r="L13" s="271">
        <f>SUM(L6:L12)</f>
        <v>215.79999999999998</v>
      </c>
    </row>
    <row r="14" spans="1:12" ht="23.25">
      <c r="A14" s="272"/>
      <c r="B14" s="272"/>
      <c r="C14" s="272"/>
      <c r="D14" s="272"/>
      <c r="E14" s="272"/>
      <c r="F14" s="272"/>
      <c r="G14" s="272"/>
      <c r="H14" s="272"/>
      <c r="I14" s="273"/>
      <c r="J14" s="273"/>
      <c r="K14" s="273"/>
      <c r="L14" s="273"/>
    </row>
    <row r="15" spans="1:12" ht="23.25">
      <c r="A15" s="272"/>
      <c r="B15" s="272"/>
      <c r="C15" s="272"/>
      <c r="D15" s="272"/>
      <c r="E15" s="272"/>
      <c r="F15" s="272"/>
      <c r="G15" s="272"/>
      <c r="H15" s="272"/>
      <c r="I15" s="273"/>
      <c r="J15" s="273"/>
      <c r="K15" s="273"/>
      <c r="L15" s="273"/>
    </row>
    <row r="18" spans="1:12" ht="23.25">
      <c r="A18" s="378" t="s">
        <v>627</v>
      </c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</row>
    <row r="19" spans="1:12" ht="23.25">
      <c r="A19" s="378" t="s">
        <v>628</v>
      </c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</row>
    <row r="20" spans="1:12" ht="23.25">
      <c r="A20" s="379" t="s">
        <v>629</v>
      </c>
      <c r="B20" s="379"/>
      <c r="C20" s="379"/>
      <c r="D20" s="379"/>
      <c r="E20" s="379"/>
      <c r="F20" s="379"/>
      <c r="G20" s="379"/>
      <c r="H20" s="379"/>
      <c r="I20" s="379"/>
      <c r="J20" s="379"/>
      <c r="K20" s="379"/>
      <c r="L20" s="379"/>
    </row>
    <row r="21" spans="1:12" ht="21.75">
      <c r="A21" s="274" t="s">
        <v>621</v>
      </c>
      <c r="B21" s="349" t="s">
        <v>302</v>
      </c>
      <c r="C21" s="351" t="s">
        <v>303</v>
      </c>
      <c r="D21" s="375" t="s">
        <v>254</v>
      </c>
      <c r="E21" s="375" t="s">
        <v>304</v>
      </c>
      <c r="F21" s="375" t="s">
        <v>305</v>
      </c>
      <c r="G21" s="375" t="s">
        <v>306</v>
      </c>
      <c r="H21" s="375" t="s">
        <v>307</v>
      </c>
      <c r="I21" s="160" t="s">
        <v>622</v>
      </c>
      <c r="J21" s="262">
        <v>0.05</v>
      </c>
      <c r="K21" s="262">
        <v>0.06</v>
      </c>
      <c r="L21" s="160" t="s">
        <v>623</v>
      </c>
    </row>
    <row r="22" spans="1:12" ht="21.75">
      <c r="A22" s="275" t="s">
        <v>624</v>
      </c>
      <c r="B22" s="350"/>
      <c r="C22" s="377"/>
      <c r="D22" s="376"/>
      <c r="E22" s="376"/>
      <c r="F22" s="376"/>
      <c r="G22" s="376"/>
      <c r="H22" s="376"/>
      <c r="I22" s="263">
        <v>0.89</v>
      </c>
      <c r="J22" s="263"/>
      <c r="K22" s="263"/>
      <c r="L22" s="215" t="s">
        <v>625</v>
      </c>
    </row>
    <row r="23" spans="1:12" ht="21.75">
      <c r="A23" s="161">
        <v>1</v>
      </c>
      <c r="B23" s="204" t="s">
        <v>486</v>
      </c>
      <c r="C23" s="205" t="s">
        <v>423</v>
      </c>
      <c r="D23" s="161">
        <v>51</v>
      </c>
      <c r="E23" s="161">
        <v>1</v>
      </c>
      <c r="F23" s="161" t="s">
        <v>308</v>
      </c>
      <c r="G23" s="161" t="s">
        <v>309</v>
      </c>
      <c r="H23" s="161" t="s">
        <v>310</v>
      </c>
      <c r="I23" s="276">
        <v>4.1474</v>
      </c>
      <c r="J23" s="277">
        <v>0.233</v>
      </c>
      <c r="K23" s="277">
        <v>0.28</v>
      </c>
      <c r="L23" s="206">
        <v>4.66</v>
      </c>
    </row>
    <row r="24" spans="1:12" ht="21.75">
      <c r="A24" s="165">
        <v>2</v>
      </c>
      <c r="B24" s="209" t="s">
        <v>430</v>
      </c>
      <c r="C24" s="210" t="s">
        <v>431</v>
      </c>
      <c r="D24" s="211">
        <v>15</v>
      </c>
      <c r="E24" s="211">
        <v>1</v>
      </c>
      <c r="F24" s="211" t="s">
        <v>308</v>
      </c>
      <c r="G24" s="211" t="s">
        <v>309</v>
      </c>
      <c r="H24" s="211" t="s">
        <v>310</v>
      </c>
      <c r="I24" s="166">
        <v>33.6954</v>
      </c>
      <c r="J24" s="168">
        <v>1.893</v>
      </c>
      <c r="K24" s="168">
        <v>2.27</v>
      </c>
      <c r="L24" s="212">
        <v>37.86</v>
      </c>
    </row>
    <row r="25" spans="1:12" ht="21.75">
      <c r="A25" s="165">
        <v>3</v>
      </c>
      <c r="B25" s="163" t="s">
        <v>487</v>
      </c>
      <c r="C25" s="164" t="s">
        <v>439</v>
      </c>
      <c r="D25" s="165">
        <v>109</v>
      </c>
      <c r="E25" s="165">
        <v>1</v>
      </c>
      <c r="F25" s="165" t="s">
        <v>308</v>
      </c>
      <c r="G25" s="165" t="s">
        <v>309</v>
      </c>
      <c r="H25" s="165" t="s">
        <v>310</v>
      </c>
      <c r="I25" s="166">
        <v>37.46</v>
      </c>
      <c r="J25" s="168">
        <v>2.105</v>
      </c>
      <c r="K25" s="168">
        <v>2.53</v>
      </c>
      <c r="L25" s="166">
        <v>42.1</v>
      </c>
    </row>
    <row r="26" spans="1:12" ht="21.75">
      <c r="A26" s="165">
        <v>4</v>
      </c>
      <c r="B26" s="163" t="s">
        <v>526</v>
      </c>
      <c r="C26" s="164" t="s">
        <v>379</v>
      </c>
      <c r="D26" s="167">
        <v>214</v>
      </c>
      <c r="E26" s="165">
        <v>2</v>
      </c>
      <c r="F26" s="165" t="s">
        <v>308</v>
      </c>
      <c r="G26" s="165" t="s">
        <v>309</v>
      </c>
      <c r="H26" s="165" t="s">
        <v>310</v>
      </c>
      <c r="I26" s="166">
        <v>25.5697</v>
      </c>
      <c r="J26" s="168">
        <v>1.4365</v>
      </c>
      <c r="K26" s="168">
        <v>1.72</v>
      </c>
      <c r="L26" s="166">
        <v>28.73</v>
      </c>
    </row>
    <row r="27" spans="1:12" ht="21.75">
      <c r="A27" s="165">
        <v>5</v>
      </c>
      <c r="B27" s="163" t="s">
        <v>432</v>
      </c>
      <c r="C27" s="164" t="s">
        <v>433</v>
      </c>
      <c r="D27" s="165">
        <v>40</v>
      </c>
      <c r="E27" s="165">
        <v>3</v>
      </c>
      <c r="F27" s="165" t="s">
        <v>308</v>
      </c>
      <c r="G27" s="165" t="s">
        <v>309</v>
      </c>
      <c r="H27" s="165" t="s">
        <v>310</v>
      </c>
      <c r="I27" s="166">
        <v>10.3062</v>
      </c>
      <c r="J27" s="168">
        <v>0.5790000000000001</v>
      </c>
      <c r="K27" s="168">
        <v>0.69</v>
      </c>
      <c r="L27" s="166">
        <v>11.58</v>
      </c>
    </row>
    <row r="28" spans="1:12" ht="21.75">
      <c r="A28" s="165">
        <v>6</v>
      </c>
      <c r="B28" s="163" t="s">
        <v>437</v>
      </c>
      <c r="C28" s="164" t="s">
        <v>438</v>
      </c>
      <c r="D28" s="165">
        <v>25</v>
      </c>
      <c r="E28" s="165">
        <v>5</v>
      </c>
      <c r="F28" s="165" t="s">
        <v>308</v>
      </c>
      <c r="G28" s="165" t="s">
        <v>309</v>
      </c>
      <c r="H28" s="165" t="s">
        <v>310</v>
      </c>
      <c r="I28" s="166">
        <v>64.13</v>
      </c>
      <c r="J28" s="168">
        <v>3.6025</v>
      </c>
      <c r="K28" s="168">
        <v>4.32</v>
      </c>
      <c r="L28" s="166">
        <v>72.05</v>
      </c>
    </row>
    <row r="29" spans="1:12" ht="21.75">
      <c r="A29" s="165">
        <v>7</v>
      </c>
      <c r="B29" s="163" t="s">
        <v>527</v>
      </c>
      <c r="C29" s="164" t="s">
        <v>528</v>
      </c>
      <c r="D29" s="165">
        <v>37</v>
      </c>
      <c r="E29" s="165">
        <v>8</v>
      </c>
      <c r="F29" s="165" t="s">
        <v>308</v>
      </c>
      <c r="G29" s="165" t="s">
        <v>309</v>
      </c>
      <c r="H29" s="165" t="s">
        <v>310</v>
      </c>
      <c r="I29" s="166">
        <v>33.7399</v>
      </c>
      <c r="J29" s="168">
        <v>1.8955</v>
      </c>
      <c r="K29" s="168">
        <v>2.27</v>
      </c>
      <c r="L29" s="168">
        <v>37.91</v>
      </c>
    </row>
    <row r="30" spans="1:12" ht="21.75">
      <c r="A30" s="165">
        <v>8</v>
      </c>
      <c r="B30" s="163" t="s">
        <v>255</v>
      </c>
      <c r="C30" s="164" t="s">
        <v>256</v>
      </c>
      <c r="D30" s="165">
        <v>34</v>
      </c>
      <c r="E30" s="165">
        <v>8</v>
      </c>
      <c r="F30" s="165" t="s">
        <v>308</v>
      </c>
      <c r="G30" s="165" t="s">
        <v>309</v>
      </c>
      <c r="H30" s="165" t="s">
        <v>310</v>
      </c>
      <c r="I30" s="166">
        <v>24.564</v>
      </c>
      <c r="J30" s="168">
        <v>1.38</v>
      </c>
      <c r="K30" s="168">
        <v>1.66</v>
      </c>
      <c r="L30" s="168">
        <v>27.6</v>
      </c>
    </row>
    <row r="31" spans="1:12" ht="21.75">
      <c r="A31" s="165">
        <v>9</v>
      </c>
      <c r="B31" s="163" t="s">
        <v>313</v>
      </c>
      <c r="C31" s="164" t="s">
        <v>445</v>
      </c>
      <c r="D31" s="165">
        <v>2</v>
      </c>
      <c r="E31" s="165">
        <v>10</v>
      </c>
      <c r="F31" s="165" t="s">
        <v>308</v>
      </c>
      <c r="G31" s="165" t="s">
        <v>309</v>
      </c>
      <c r="H31" s="165" t="s">
        <v>310</v>
      </c>
      <c r="I31" s="166">
        <v>33.9535</v>
      </c>
      <c r="J31" s="168">
        <v>1.9075</v>
      </c>
      <c r="K31" s="168">
        <v>2.29</v>
      </c>
      <c r="L31" s="168">
        <v>38.15</v>
      </c>
    </row>
    <row r="32" spans="1:12" ht="21.75">
      <c r="A32" s="165">
        <v>10</v>
      </c>
      <c r="B32" s="163" t="s">
        <v>446</v>
      </c>
      <c r="C32" s="164" t="s">
        <v>626</v>
      </c>
      <c r="D32" s="165">
        <v>75</v>
      </c>
      <c r="E32" s="165">
        <v>6</v>
      </c>
      <c r="F32" s="165" t="s">
        <v>447</v>
      </c>
      <c r="G32" s="165" t="s">
        <v>309</v>
      </c>
      <c r="H32" s="165" t="s">
        <v>310</v>
      </c>
      <c r="I32" s="166">
        <v>16.82</v>
      </c>
      <c r="J32" s="166">
        <v>0.9445000000000001</v>
      </c>
      <c r="K32" s="168">
        <v>1.13</v>
      </c>
      <c r="L32" s="168">
        <v>18.89</v>
      </c>
    </row>
    <row r="33" spans="1:12" ht="21.75">
      <c r="A33" s="165">
        <v>11</v>
      </c>
      <c r="B33" s="163" t="s">
        <v>534</v>
      </c>
      <c r="C33" s="164" t="s">
        <v>535</v>
      </c>
      <c r="D33" s="278">
        <v>1024</v>
      </c>
      <c r="E33" s="213" t="s">
        <v>536</v>
      </c>
      <c r="F33" s="165" t="s">
        <v>490</v>
      </c>
      <c r="G33" s="165" t="s">
        <v>491</v>
      </c>
      <c r="H33" s="165" t="s">
        <v>311</v>
      </c>
      <c r="I33" s="166">
        <v>31.4437</v>
      </c>
      <c r="J33" s="166">
        <v>1.7665</v>
      </c>
      <c r="K33" s="168">
        <v>2.12</v>
      </c>
      <c r="L33" s="168">
        <v>35.33</v>
      </c>
    </row>
    <row r="34" spans="1:12" ht="21.75">
      <c r="A34" s="217">
        <v>12</v>
      </c>
      <c r="B34" s="228" t="s">
        <v>448</v>
      </c>
      <c r="C34" s="229" t="s">
        <v>449</v>
      </c>
      <c r="D34" s="227">
        <v>7</v>
      </c>
      <c r="E34" s="227">
        <v>4</v>
      </c>
      <c r="F34" s="269" t="s">
        <v>450</v>
      </c>
      <c r="G34" s="269" t="s">
        <v>450</v>
      </c>
      <c r="H34" s="227" t="s">
        <v>310</v>
      </c>
      <c r="I34" s="279">
        <v>8.606300000000001</v>
      </c>
      <c r="J34" s="279">
        <v>0.48350000000000004</v>
      </c>
      <c r="K34" s="230">
        <v>0.58</v>
      </c>
      <c r="L34" s="230">
        <v>9.67</v>
      </c>
    </row>
    <row r="35" spans="1:12" ht="21.75">
      <c r="A35" s="380" t="s">
        <v>61</v>
      </c>
      <c r="B35" s="380"/>
      <c r="C35" s="380"/>
      <c r="D35" s="380"/>
      <c r="E35" s="380"/>
      <c r="F35" s="380"/>
      <c r="G35" s="380"/>
      <c r="H35" s="380"/>
      <c r="I35" s="271">
        <f>SUM(I23:I34)</f>
        <v>324.43609999999995</v>
      </c>
      <c r="J35" s="271">
        <f>SUM(J23:J34)</f>
        <v>18.2265</v>
      </c>
      <c r="K35" s="271">
        <f>SUM(K23:K34)</f>
        <v>21.86</v>
      </c>
      <c r="L35" s="271">
        <f>SUM(L23:L34)</f>
        <v>364.53</v>
      </c>
    </row>
    <row r="36" spans="1:12" ht="21.75">
      <c r="A36" s="280"/>
      <c r="B36" s="280"/>
      <c r="C36" s="280"/>
      <c r="D36" s="280"/>
      <c r="E36" s="280"/>
      <c r="F36" s="280"/>
      <c r="G36" s="280"/>
      <c r="H36" s="280"/>
      <c r="I36" s="231"/>
      <c r="J36" s="231"/>
      <c r="K36" s="231"/>
      <c r="L36" s="231"/>
    </row>
    <row r="37" spans="1:12" ht="21.75">
      <c r="A37" s="280"/>
      <c r="B37" s="280"/>
      <c r="C37" s="280"/>
      <c r="D37" s="280"/>
      <c r="E37" s="280"/>
      <c r="F37" s="280"/>
      <c r="G37" s="280"/>
      <c r="H37" s="280"/>
      <c r="I37" s="231"/>
      <c r="J37" s="231"/>
      <c r="K37" s="231"/>
      <c r="L37" s="231"/>
    </row>
    <row r="38" ht="22.5" customHeight="1"/>
    <row r="40" spans="1:12" ht="23.25">
      <c r="A40" s="378" t="s">
        <v>627</v>
      </c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</row>
    <row r="41" spans="1:12" ht="23.25">
      <c r="A41" s="378" t="s">
        <v>630</v>
      </c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</row>
    <row r="42" spans="1:12" ht="23.25">
      <c r="A42" s="379" t="s">
        <v>629</v>
      </c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</row>
    <row r="43" spans="1:12" ht="21.75">
      <c r="A43" s="274" t="s">
        <v>621</v>
      </c>
      <c r="B43" s="349" t="s">
        <v>302</v>
      </c>
      <c r="C43" s="351" t="s">
        <v>303</v>
      </c>
      <c r="D43" s="375" t="s">
        <v>254</v>
      </c>
      <c r="E43" s="375" t="s">
        <v>304</v>
      </c>
      <c r="F43" s="375" t="s">
        <v>305</v>
      </c>
      <c r="G43" s="375" t="s">
        <v>306</v>
      </c>
      <c r="H43" s="375" t="s">
        <v>307</v>
      </c>
      <c r="I43" s="160" t="s">
        <v>622</v>
      </c>
      <c r="J43" s="262">
        <v>0.05</v>
      </c>
      <c r="K43" s="262">
        <v>0.06</v>
      </c>
      <c r="L43" s="160" t="s">
        <v>623</v>
      </c>
    </row>
    <row r="44" spans="1:12" ht="21.75">
      <c r="A44" s="275" t="s">
        <v>624</v>
      </c>
      <c r="B44" s="350"/>
      <c r="C44" s="377"/>
      <c r="D44" s="376"/>
      <c r="E44" s="376"/>
      <c r="F44" s="376"/>
      <c r="G44" s="376"/>
      <c r="H44" s="376"/>
      <c r="I44" s="263">
        <v>0.89</v>
      </c>
      <c r="J44" s="263"/>
      <c r="K44" s="263"/>
      <c r="L44" s="215" t="s">
        <v>625</v>
      </c>
    </row>
    <row r="45" spans="1:12" ht="21.75">
      <c r="A45" s="161">
        <v>1</v>
      </c>
      <c r="B45" s="204" t="s">
        <v>486</v>
      </c>
      <c r="C45" s="205" t="s">
        <v>423</v>
      </c>
      <c r="D45" s="161">
        <v>51</v>
      </c>
      <c r="E45" s="161">
        <v>1</v>
      </c>
      <c r="F45" s="161" t="s">
        <v>308</v>
      </c>
      <c r="G45" s="161" t="s">
        <v>309</v>
      </c>
      <c r="H45" s="161" t="s">
        <v>310</v>
      </c>
      <c r="I45" s="276">
        <v>4.1474</v>
      </c>
      <c r="J45" s="277">
        <v>0.233</v>
      </c>
      <c r="K45" s="277">
        <v>0.27959999999999996</v>
      </c>
      <c r="L45" s="206">
        <v>4.66</v>
      </c>
    </row>
    <row r="46" spans="1:12" ht="21.75">
      <c r="A46" s="165">
        <v>2</v>
      </c>
      <c r="B46" s="163" t="s">
        <v>430</v>
      </c>
      <c r="C46" s="164" t="s">
        <v>431</v>
      </c>
      <c r="D46" s="165">
        <v>15</v>
      </c>
      <c r="E46" s="165">
        <v>1</v>
      </c>
      <c r="F46" s="165" t="s">
        <v>308</v>
      </c>
      <c r="G46" s="165" t="s">
        <v>309</v>
      </c>
      <c r="H46" s="165" t="s">
        <v>310</v>
      </c>
      <c r="I46" s="166">
        <v>33.6954</v>
      </c>
      <c r="J46" s="168">
        <v>1.893</v>
      </c>
      <c r="K46" s="168">
        <v>2.2716000000000003</v>
      </c>
      <c r="L46" s="162">
        <v>37.86</v>
      </c>
    </row>
    <row r="47" spans="1:12" ht="21.75">
      <c r="A47" s="165">
        <v>3</v>
      </c>
      <c r="B47" s="163" t="s">
        <v>631</v>
      </c>
      <c r="C47" s="164" t="s">
        <v>379</v>
      </c>
      <c r="D47" s="165">
        <v>49</v>
      </c>
      <c r="E47" s="165">
        <v>1</v>
      </c>
      <c r="F47" s="165" t="s">
        <v>308</v>
      </c>
      <c r="G47" s="165" t="s">
        <v>309</v>
      </c>
      <c r="H47" s="165" t="s">
        <v>310</v>
      </c>
      <c r="I47" s="166">
        <v>5.55</v>
      </c>
      <c r="J47" s="166">
        <f>6.23*5%</f>
        <v>0.31150000000000005</v>
      </c>
      <c r="K47" s="166">
        <f>+L47-I47-J47</f>
        <v>0.36850000000000055</v>
      </c>
      <c r="L47" s="162">
        <v>6.23</v>
      </c>
    </row>
    <row r="48" spans="1:12" ht="21.75">
      <c r="A48" s="165">
        <v>4</v>
      </c>
      <c r="B48" s="163" t="s">
        <v>487</v>
      </c>
      <c r="C48" s="164" t="s">
        <v>439</v>
      </c>
      <c r="D48" s="165">
        <v>109</v>
      </c>
      <c r="E48" s="165">
        <v>1</v>
      </c>
      <c r="F48" s="165" t="s">
        <v>308</v>
      </c>
      <c r="G48" s="165" t="s">
        <v>309</v>
      </c>
      <c r="H48" s="165" t="s">
        <v>310</v>
      </c>
      <c r="I48" s="166">
        <v>37.46</v>
      </c>
      <c r="J48" s="168">
        <v>2.105</v>
      </c>
      <c r="K48" s="168">
        <v>2.5260000000000002</v>
      </c>
      <c r="L48" s="166">
        <v>42.1</v>
      </c>
    </row>
    <row r="49" spans="1:12" ht="21.75">
      <c r="A49" s="165">
        <v>5</v>
      </c>
      <c r="B49" s="163" t="s">
        <v>632</v>
      </c>
      <c r="C49" s="164" t="s">
        <v>633</v>
      </c>
      <c r="D49" s="165">
        <v>93</v>
      </c>
      <c r="E49" s="165">
        <v>2</v>
      </c>
      <c r="F49" s="165" t="s">
        <v>308</v>
      </c>
      <c r="G49" s="165" t="s">
        <v>309</v>
      </c>
      <c r="H49" s="165" t="s">
        <v>310</v>
      </c>
      <c r="I49" s="166">
        <v>7.4</v>
      </c>
      <c r="J49" s="162">
        <v>0.42</v>
      </c>
      <c r="K49" s="166">
        <v>0.49</v>
      </c>
      <c r="L49" s="162">
        <f>+I49+J49+K49</f>
        <v>8.31</v>
      </c>
    </row>
    <row r="50" spans="1:12" ht="21.75">
      <c r="A50" s="165">
        <v>6</v>
      </c>
      <c r="B50" s="163" t="s">
        <v>634</v>
      </c>
      <c r="C50" s="164" t="s">
        <v>379</v>
      </c>
      <c r="D50" s="165">
        <v>17</v>
      </c>
      <c r="E50" s="165">
        <v>2</v>
      </c>
      <c r="F50" s="165" t="s">
        <v>308</v>
      </c>
      <c r="G50" s="165" t="s">
        <v>309</v>
      </c>
      <c r="H50" s="165" t="s">
        <v>310</v>
      </c>
      <c r="I50" s="162">
        <v>6.28</v>
      </c>
      <c r="J50" s="162">
        <v>0.35</v>
      </c>
      <c r="K50" s="162">
        <v>0.42</v>
      </c>
      <c r="L50" s="162">
        <f>+I50+J50+K50</f>
        <v>7.05</v>
      </c>
    </row>
    <row r="51" spans="1:12" ht="21.75">
      <c r="A51" s="165">
        <v>7</v>
      </c>
      <c r="B51" s="163" t="s">
        <v>635</v>
      </c>
      <c r="C51" s="164" t="s">
        <v>379</v>
      </c>
      <c r="D51" s="165">
        <v>32</v>
      </c>
      <c r="E51" s="165">
        <v>2</v>
      </c>
      <c r="F51" s="165" t="s">
        <v>308</v>
      </c>
      <c r="G51" s="165" t="s">
        <v>309</v>
      </c>
      <c r="H51" s="165" t="s">
        <v>310</v>
      </c>
      <c r="I51" s="162">
        <v>22.07</v>
      </c>
      <c r="J51" s="162">
        <v>1.24</v>
      </c>
      <c r="K51" s="162">
        <v>1.49</v>
      </c>
      <c r="L51" s="166">
        <f>+I51+J51+K51</f>
        <v>24.799999999999997</v>
      </c>
    </row>
    <row r="52" spans="1:12" ht="21.75">
      <c r="A52" s="165">
        <v>8</v>
      </c>
      <c r="B52" s="163" t="s">
        <v>526</v>
      </c>
      <c r="C52" s="164" t="s">
        <v>379</v>
      </c>
      <c r="D52" s="167">
        <v>214</v>
      </c>
      <c r="E52" s="165">
        <v>2</v>
      </c>
      <c r="F52" s="165" t="s">
        <v>308</v>
      </c>
      <c r="G52" s="165" t="s">
        <v>309</v>
      </c>
      <c r="H52" s="165" t="s">
        <v>310</v>
      </c>
      <c r="I52" s="166">
        <v>25.5697</v>
      </c>
      <c r="J52" s="168">
        <v>1.4365</v>
      </c>
      <c r="K52" s="168">
        <v>1.7237999999999993</v>
      </c>
      <c r="L52" s="166">
        <v>28.73</v>
      </c>
    </row>
    <row r="53" spans="1:12" ht="21.75">
      <c r="A53" s="165">
        <v>9</v>
      </c>
      <c r="B53" s="163" t="s">
        <v>432</v>
      </c>
      <c r="C53" s="164" t="s">
        <v>433</v>
      </c>
      <c r="D53" s="165">
        <v>40</v>
      </c>
      <c r="E53" s="165">
        <v>3</v>
      </c>
      <c r="F53" s="165" t="s">
        <v>308</v>
      </c>
      <c r="G53" s="165" t="s">
        <v>309</v>
      </c>
      <c r="H53" s="165" t="s">
        <v>310</v>
      </c>
      <c r="I53" s="166">
        <v>10.3062</v>
      </c>
      <c r="J53" s="168">
        <v>0.5790000000000001</v>
      </c>
      <c r="K53" s="168">
        <v>0.6947999999999995</v>
      </c>
      <c r="L53" s="166">
        <v>11.58</v>
      </c>
    </row>
    <row r="54" spans="1:12" ht="21.75">
      <c r="A54" s="165">
        <v>10</v>
      </c>
      <c r="B54" s="182" t="s">
        <v>636</v>
      </c>
      <c r="C54" s="281" t="s">
        <v>637</v>
      </c>
      <c r="D54" s="282"/>
      <c r="E54" s="283">
        <v>3</v>
      </c>
      <c r="F54" s="165" t="s">
        <v>308</v>
      </c>
      <c r="G54" s="165" t="s">
        <v>309</v>
      </c>
      <c r="H54" s="165" t="s">
        <v>310</v>
      </c>
      <c r="I54" s="284">
        <v>43.26</v>
      </c>
      <c r="J54" s="285">
        <v>2.43</v>
      </c>
      <c r="K54" s="162">
        <v>2.92</v>
      </c>
      <c r="L54" s="162">
        <f>+I54+J54+K54</f>
        <v>48.61</v>
      </c>
    </row>
    <row r="55" spans="1:12" ht="21.75">
      <c r="A55" s="165">
        <v>11</v>
      </c>
      <c r="B55" s="182" t="s">
        <v>638</v>
      </c>
      <c r="C55" s="281" t="s">
        <v>381</v>
      </c>
      <c r="D55" s="165">
        <v>246</v>
      </c>
      <c r="E55" s="283">
        <v>4</v>
      </c>
      <c r="F55" s="165" t="s">
        <v>308</v>
      </c>
      <c r="G55" s="165" t="s">
        <v>309</v>
      </c>
      <c r="H55" s="165" t="s">
        <v>310</v>
      </c>
      <c r="I55" s="162">
        <v>78.4</v>
      </c>
      <c r="J55" s="162">
        <v>4.41</v>
      </c>
      <c r="K55" s="162">
        <v>5.28</v>
      </c>
      <c r="L55" s="162">
        <f aca="true" t="shared" si="0" ref="L55:L65">+I55+J55+K55</f>
        <v>88.09</v>
      </c>
    </row>
    <row r="56" spans="1:12" ht="21.75">
      <c r="A56" s="165">
        <v>12</v>
      </c>
      <c r="B56" s="163" t="s">
        <v>435</v>
      </c>
      <c r="C56" s="164" t="s">
        <v>639</v>
      </c>
      <c r="D56" s="165">
        <v>6</v>
      </c>
      <c r="E56" s="165">
        <v>11</v>
      </c>
      <c r="F56" s="165" t="s">
        <v>308</v>
      </c>
      <c r="G56" s="165" t="s">
        <v>309</v>
      </c>
      <c r="H56" s="165" t="s">
        <v>310</v>
      </c>
      <c r="I56" s="162">
        <v>40.57</v>
      </c>
      <c r="J56" s="162">
        <v>2.28</v>
      </c>
      <c r="K56" s="162">
        <v>2.73</v>
      </c>
      <c r="L56" s="162">
        <f t="shared" si="0"/>
        <v>45.58</v>
      </c>
    </row>
    <row r="57" spans="1:12" ht="21.75">
      <c r="A57" s="165">
        <v>13</v>
      </c>
      <c r="B57" s="163" t="s">
        <v>436</v>
      </c>
      <c r="C57" s="164" t="s">
        <v>379</v>
      </c>
      <c r="D57" s="165">
        <v>234</v>
      </c>
      <c r="E57" s="165">
        <v>5</v>
      </c>
      <c r="F57" s="165" t="s">
        <v>308</v>
      </c>
      <c r="G57" s="165" t="s">
        <v>309</v>
      </c>
      <c r="H57" s="165" t="s">
        <v>310</v>
      </c>
      <c r="I57" s="166">
        <v>123.6</v>
      </c>
      <c r="J57" s="168">
        <v>6.94</v>
      </c>
      <c r="K57" s="168">
        <v>8.33</v>
      </c>
      <c r="L57" s="162">
        <f t="shared" si="0"/>
        <v>138.87</v>
      </c>
    </row>
    <row r="58" spans="1:12" ht="21.75">
      <c r="A58" s="165">
        <v>14</v>
      </c>
      <c r="B58" s="163" t="s">
        <v>640</v>
      </c>
      <c r="C58" s="164" t="s">
        <v>641</v>
      </c>
      <c r="D58" s="183" t="s">
        <v>642</v>
      </c>
      <c r="E58" s="165">
        <v>5</v>
      </c>
      <c r="F58" s="165" t="s">
        <v>308</v>
      </c>
      <c r="G58" s="165" t="s">
        <v>309</v>
      </c>
      <c r="H58" s="165" t="s">
        <v>310</v>
      </c>
      <c r="I58" s="162">
        <v>5.48</v>
      </c>
      <c r="J58" s="162">
        <v>0.31</v>
      </c>
      <c r="K58" s="162">
        <v>0.37</v>
      </c>
      <c r="L58" s="162">
        <f t="shared" si="0"/>
        <v>6.16</v>
      </c>
    </row>
    <row r="59" spans="1:12" ht="21.75">
      <c r="A59" s="165">
        <v>15</v>
      </c>
      <c r="B59" s="182" t="s">
        <v>391</v>
      </c>
      <c r="C59" s="281" t="s">
        <v>525</v>
      </c>
      <c r="D59" s="282">
        <v>228</v>
      </c>
      <c r="E59" s="283">
        <v>5</v>
      </c>
      <c r="F59" s="165" t="s">
        <v>308</v>
      </c>
      <c r="G59" s="165" t="s">
        <v>309</v>
      </c>
      <c r="H59" s="165" t="s">
        <v>310</v>
      </c>
      <c r="I59" s="285">
        <v>11.26</v>
      </c>
      <c r="J59" s="285">
        <v>0.63</v>
      </c>
      <c r="K59" s="285">
        <v>0.76</v>
      </c>
      <c r="L59" s="162">
        <f t="shared" si="0"/>
        <v>12.65</v>
      </c>
    </row>
    <row r="60" spans="1:12" ht="21.75">
      <c r="A60" s="165">
        <v>16</v>
      </c>
      <c r="B60" s="182" t="s">
        <v>437</v>
      </c>
      <c r="C60" s="164" t="s">
        <v>438</v>
      </c>
      <c r="D60" s="165">
        <v>25</v>
      </c>
      <c r="E60" s="165">
        <v>5</v>
      </c>
      <c r="F60" s="165" t="s">
        <v>308</v>
      </c>
      <c r="G60" s="165" t="s">
        <v>309</v>
      </c>
      <c r="H60" s="165" t="s">
        <v>310</v>
      </c>
      <c r="I60" s="166">
        <v>64.13</v>
      </c>
      <c r="J60" s="168">
        <v>3.6025</v>
      </c>
      <c r="K60" s="168">
        <v>4.3229999999999995</v>
      </c>
      <c r="L60" s="166">
        <v>72.05</v>
      </c>
    </row>
    <row r="61" spans="1:12" ht="21.75">
      <c r="A61" s="165">
        <v>17</v>
      </c>
      <c r="B61" s="182" t="s">
        <v>643</v>
      </c>
      <c r="C61" s="281" t="s">
        <v>529</v>
      </c>
      <c r="D61" s="282">
        <v>74</v>
      </c>
      <c r="E61" s="283">
        <v>5</v>
      </c>
      <c r="F61" s="165" t="s">
        <v>308</v>
      </c>
      <c r="G61" s="165" t="s">
        <v>309</v>
      </c>
      <c r="H61" s="165" t="s">
        <v>310</v>
      </c>
      <c r="I61" s="285">
        <v>23.79</v>
      </c>
      <c r="J61" s="285">
        <v>1.34</v>
      </c>
      <c r="K61" s="285">
        <v>1.6</v>
      </c>
      <c r="L61" s="162">
        <f t="shared" si="0"/>
        <v>26.73</v>
      </c>
    </row>
    <row r="62" spans="1:12" ht="21.75">
      <c r="A62" s="165">
        <v>18</v>
      </c>
      <c r="B62" s="182" t="s">
        <v>644</v>
      </c>
      <c r="C62" s="281" t="s">
        <v>440</v>
      </c>
      <c r="D62" s="282">
        <v>124</v>
      </c>
      <c r="E62" s="283">
        <v>5</v>
      </c>
      <c r="F62" s="165" t="s">
        <v>308</v>
      </c>
      <c r="G62" s="165" t="s">
        <v>309</v>
      </c>
      <c r="H62" s="165" t="s">
        <v>310</v>
      </c>
      <c r="I62" s="285">
        <v>11.47</v>
      </c>
      <c r="J62" s="285">
        <v>0.64</v>
      </c>
      <c r="K62" s="285">
        <v>0.77</v>
      </c>
      <c r="L62" s="162">
        <f t="shared" si="0"/>
        <v>12.88</v>
      </c>
    </row>
    <row r="63" spans="1:12" ht="21.75">
      <c r="A63" s="165">
        <v>19</v>
      </c>
      <c r="B63" s="182" t="s">
        <v>441</v>
      </c>
      <c r="C63" s="281" t="s">
        <v>382</v>
      </c>
      <c r="D63" s="282">
        <v>469</v>
      </c>
      <c r="E63" s="283">
        <v>5</v>
      </c>
      <c r="F63" s="165" t="s">
        <v>308</v>
      </c>
      <c r="G63" s="165" t="s">
        <v>309</v>
      </c>
      <c r="H63" s="165" t="s">
        <v>310</v>
      </c>
      <c r="I63" s="285">
        <v>14.61</v>
      </c>
      <c r="J63" s="285">
        <v>0.82</v>
      </c>
      <c r="K63" s="285">
        <v>0.99</v>
      </c>
      <c r="L63" s="162">
        <f t="shared" si="0"/>
        <v>16.419999999999998</v>
      </c>
    </row>
    <row r="64" spans="1:12" ht="21.75">
      <c r="A64" s="165">
        <v>20</v>
      </c>
      <c r="B64" s="182" t="s">
        <v>645</v>
      </c>
      <c r="C64" s="281" t="s">
        <v>646</v>
      </c>
      <c r="D64" s="286" t="s">
        <v>647</v>
      </c>
      <c r="E64" s="283">
        <v>6</v>
      </c>
      <c r="F64" s="165" t="s">
        <v>308</v>
      </c>
      <c r="G64" s="165" t="s">
        <v>309</v>
      </c>
      <c r="H64" s="165" t="s">
        <v>310</v>
      </c>
      <c r="I64" s="285">
        <v>8.38</v>
      </c>
      <c r="J64" s="285">
        <v>0.47</v>
      </c>
      <c r="K64" s="285">
        <v>0.56</v>
      </c>
      <c r="L64" s="162">
        <f t="shared" si="0"/>
        <v>9.410000000000002</v>
      </c>
    </row>
    <row r="65" spans="1:12" ht="21.75">
      <c r="A65" s="165">
        <v>21</v>
      </c>
      <c r="B65" s="182" t="s">
        <v>442</v>
      </c>
      <c r="C65" s="281" t="s">
        <v>488</v>
      </c>
      <c r="D65" s="286" t="s">
        <v>443</v>
      </c>
      <c r="E65" s="283">
        <v>6</v>
      </c>
      <c r="F65" s="165" t="s">
        <v>308</v>
      </c>
      <c r="G65" s="165" t="s">
        <v>309</v>
      </c>
      <c r="H65" s="165" t="s">
        <v>310</v>
      </c>
      <c r="I65" s="285">
        <v>0.89</v>
      </c>
      <c r="J65" s="285">
        <v>0.05</v>
      </c>
      <c r="K65" s="285">
        <v>0.06</v>
      </c>
      <c r="L65" s="162">
        <f t="shared" si="0"/>
        <v>1</v>
      </c>
    </row>
    <row r="66" spans="1:12" ht="21.75">
      <c r="A66" s="165">
        <v>22</v>
      </c>
      <c r="B66" s="163" t="s">
        <v>527</v>
      </c>
      <c r="C66" s="164" t="s">
        <v>528</v>
      </c>
      <c r="D66" s="165">
        <v>37</v>
      </c>
      <c r="E66" s="165">
        <v>8</v>
      </c>
      <c r="F66" s="165" t="s">
        <v>308</v>
      </c>
      <c r="G66" s="165" t="s">
        <v>309</v>
      </c>
      <c r="H66" s="165" t="s">
        <v>310</v>
      </c>
      <c r="I66" s="166">
        <v>33.7399</v>
      </c>
      <c r="J66" s="168">
        <v>1.8955</v>
      </c>
      <c r="K66" s="168">
        <v>2.2745999999999977</v>
      </c>
      <c r="L66" s="168">
        <v>37.91</v>
      </c>
    </row>
    <row r="67" spans="1:12" ht="21.75">
      <c r="A67" s="165">
        <v>23</v>
      </c>
      <c r="B67" s="163" t="s">
        <v>255</v>
      </c>
      <c r="C67" s="164" t="s">
        <v>256</v>
      </c>
      <c r="D67" s="165">
        <v>34</v>
      </c>
      <c r="E67" s="165">
        <v>8</v>
      </c>
      <c r="F67" s="165" t="s">
        <v>308</v>
      </c>
      <c r="G67" s="165" t="s">
        <v>309</v>
      </c>
      <c r="H67" s="165" t="s">
        <v>310</v>
      </c>
      <c r="I67" s="166">
        <v>24.564</v>
      </c>
      <c r="J67" s="168">
        <v>1.38</v>
      </c>
      <c r="K67" s="168">
        <v>1.6560000000000012</v>
      </c>
      <c r="L67" s="168">
        <v>27.6</v>
      </c>
    </row>
    <row r="68" spans="1:12" ht="21.75">
      <c r="A68" s="165">
        <v>24</v>
      </c>
      <c r="B68" s="163" t="s">
        <v>380</v>
      </c>
      <c r="C68" s="164" t="s">
        <v>383</v>
      </c>
      <c r="D68" s="213" t="s">
        <v>384</v>
      </c>
      <c r="E68" s="214" t="s">
        <v>385</v>
      </c>
      <c r="F68" s="165" t="s">
        <v>312</v>
      </c>
      <c r="G68" s="165" t="s">
        <v>309</v>
      </c>
      <c r="H68" s="165" t="s">
        <v>310</v>
      </c>
      <c r="I68" s="166">
        <v>12.3176</v>
      </c>
      <c r="J68" s="168">
        <v>0.6920000000000001</v>
      </c>
      <c r="K68" s="168">
        <v>0.8303999999999992</v>
      </c>
      <c r="L68" s="168">
        <v>13.84</v>
      </c>
    </row>
    <row r="69" spans="1:12" ht="21.75">
      <c r="A69" s="165">
        <v>25</v>
      </c>
      <c r="B69" s="163" t="s">
        <v>313</v>
      </c>
      <c r="C69" s="164" t="s">
        <v>445</v>
      </c>
      <c r="D69" s="165">
        <v>2</v>
      </c>
      <c r="E69" s="165">
        <v>10</v>
      </c>
      <c r="F69" s="165" t="s">
        <v>308</v>
      </c>
      <c r="G69" s="165" t="s">
        <v>309</v>
      </c>
      <c r="H69" s="165" t="s">
        <v>310</v>
      </c>
      <c r="I69" s="166">
        <v>33.9535</v>
      </c>
      <c r="J69" s="168">
        <v>1.9075</v>
      </c>
      <c r="K69" s="168">
        <v>2.2890000000000006</v>
      </c>
      <c r="L69" s="168">
        <v>38.15</v>
      </c>
    </row>
    <row r="70" spans="1:12" ht="21.75">
      <c r="A70" s="165">
        <v>26</v>
      </c>
      <c r="B70" s="163" t="s">
        <v>530</v>
      </c>
      <c r="C70" s="164" t="s">
        <v>531</v>
      </c>
      <c r="D70" s="183" t="s">
        <v>532</v>
      </c>
      <c r="E70" s="165">
        <v>11</v>
      </c>
      <c r="F70" s="165" t="s">
        <v>315</v>
      </c>
      <c r="G70" s="165" t="s">
        <v>309</v>
      </c>
      <c r="H70" s="165" t="s">
        <v>310</v>
      </c>
      <c r="I70" s="166">
        <v>28.52</v>
      </c>
      <c r="J70" s="168">
        <v>1.602</v>
      </c>
      <c r="K70" s="168">
        <v>1.9223999999999999</v>
      </c>
      <c r="L70" s="168">
        <v>32.04</v>
      </c>
    </row>
    <row r="71" spans="1:12" ht="21.75">
      <c r="A71" s="165">
        <v>27</v>
      </c>
      <c r="B71" s="182" t="s">
        <v>648</v>
      </c>
      <c r="C71" s="281" t="s">
        <v>649</v>
      </c>
      <c r="D71" s="283">
        <v>124</v>
      </c>
      <c r="E71" s="283">
        <v>9</v>
      </c>
      <c r="F71" s="283" t="s">
        <v>315</v>
      </c>
      <c r="G71" s="283" t="s">
        <v>309</v>
      </c>
      <c r="H71" s="283" t="s">
        <v>310</v>
      </c>
      <c r="I71" s="284">
        <v>3.03</v>
      </c>
      <c r="J71" s="287">
        <v>0.17</v>
      </c>
      <c r="K71" s="287">
        <v>0.2</v>
      </c>
      <c r="L71" s="166">
        <f>+I71+J71+K71</f>
        <v>3.4</v>
      </c>
    </row>
    <row r="72" spans="1:12" ht="21.75">
      <c r="A72" s="165">
        <v>28</v>
      </c>
      <c r="B72" s="182" t="s">
        <v>650</v>
      </c>
      <c r="C72" s="281" t="s">
        <v>524</v>
      </c>
      <c r="D72" s="283">
        <v>41</v>
      </c>
      <c r="E72" s="283">
        <v>12</v>
      </c>
      <c r="F72" s="283" t="s">
        <v>308</v>
      </c>
      <c r="G72" s="283" t="s">
        <v>309</v>
      </c>
      <c r="H72" s="283" t="s">
        <v>310</v>
      </c>
      <c r="I72" s="284">
        <v>113.52</v>
      </c>
      <c r="J72" s="287">
        <v>6.38</v>
      </c>
      <c r="K72" s="287">
        <v>7.65</v>
      </c>
      <c r="L72" s="166">
        <f>+I72+J72+K72</f>
        <v>127.55</v>
      </c>
    </row>
    <row r="73" spans="1:12" ht="21.75">
      <c r="A73" s="165">
        <v>29</v>
      </c>
      <c r="B73" s="163" t="s">
        <v>446</v>
      </c>
      <c r="C73" s="164" t="s">
        <v>626</v>
      </c>
      <c r="D73" s="165">
        <v>75</v>
      </c>
      <c r="E73" s="165">
        <v>6</v>
      </c>
      <c r="F73" s="165" t="s">
        <v>447</v>
      </c>
      <c r="G73" s="165" t="s">
        <v>309</v>
      </c>
      <c r="H73" s="165" t="s">
        <v>310</v>
      </c>
      <c r="I73" s="166">
        <v>16.82</v>
      </c>
      <c r="J73" s="166">
        <v>0.9445000000000001</v>
      </c>
      <c r="K73" s="168">
        <v>1.1333999999999995</v>
      </c>
      <c r="L73" s="168">
        <v>18.89</v>
      </c>
    </row>
    <row r="74" spans="1:12" ht="21.75">
      <c r="A74" s="217">
        <v>30</v>
      </c>
      <c r="B74" s="288" t="s">
        <v>651</v>
      </c>
      <c r="C74" s="289" t="s">
        <v>652</v>
      </c>
      <c r="D74" s="290" t="s">
        <v>653</v>
      </c>
      <c r="E74" s="290"/>
      <c r="F74" s="290"/>
      <c r="G74" s="290" t="s">
        <v>654</v>
      </c>
      <c r="H74" s="290"/>
      <c r="I74" s="291">
        <v>10.52</v>
      </c>
      <c r="J74" s="292">
        <v>0.59</v>
      </c>
      <c r="K74" s="292">
        <v>0.71</v>
      </c>
      <c r="L74" s="279">
        <f>+I74+J74+K74</f>
        <v>11.82</v>
      </c>
    </row>
    <row r="75" spans="1:12" ht="21.75">
      <c r="A75" s="371" t="s">
        <v>61</v>
      </c>
      <c r="B75" s="372"/>
      <c r="C75" s="372"/>
      <c r="D75" s="372"/>
      <c r="E75" s="372"/>
      <c r="F75" s="372"/>
      <c r="G75" s="372"/>
      <c r="H75" s="373"/>
      <c r="I75" s="293">
        <f>SUM(I45:I74)</f>
        <v>855.3036999999998</v>
      </c>
      <c r="J75" s="293">
        <f>SUM(J45:J74)</f>
        <v>48.052</v>
      </c>
      <c r="K75" s="293">
        <f>SUM(K45:K74)</f>
        <v>57.623100000000015</v>
      </c>
      <c r="L75" s="293">
        <f>SUM(L45:L74)</f>
        <v>960.9699999999998</v>
      </c>
    </row>
    <row r="76" spans="1:12" ht="21.75">
      <c r="A76" s="170"/>
      <c r="B76" s="169"/>
      <c r="C76" s="169"/>
      <c r="D76" s="294"/>
      <c r="E76" s="225"/>
      <c r="F76" s="170"/>
      <c r="G76" s="170"/>
      <c r="H76" s="170"/>
      <c r="I76" s="231"/>
      <c r="J76" s="231"/>
      <c r="K76" s="171"/>
      <c r="L76" s="171"/>
    </row>
    <row r="77" spans="1:12" ht="21.75">
      <c r="A77" s="170"/>
      <c r="B77" s="169"/>
      <c r="C77" s="169"/>
      <c r="D77" s="170"/>
      <c r="E77" s="170"/>
      <c r="F77" s="225"/>
      <c r="G77" s="225"/>
      <c r="H77" s="170"/>
      <c r="I77" s="171"/>
      <c r="J77" s="171"/>
      <c r="K77" s="171"/>
      <c r="L77" s="171"/>
    </row>
    <row r="78" spans="1:12" ht="21.75">
      <c r="A78" s="170"/>
      <c r="B78" s="169"/>
      <c r="C78" s="169"/>
      <c r="D78" s="226"/>
      <c r="E78" s="225"/>
      <c r="F78" s="225"/>
      <c r="G78" s="225"/>
      <c r="H78" s="170"/>
      <c r="I78" s="171"/>
      <c r="J78" s="171"/>
      <c r="K78" s="171"/>
      <c r="L78" s="171"/>
    </row>
    <row r="79" spans="1:12" ht="23.25">
      <c r="A79" s="378" t="s">
        <v>627</v>
      </c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</row>
    <row r="80" spans="1:12" ht="23.25">
      <c r="A80" s="378" t="s">
        <v>630</v>
      </c>
      <c r="B80" s="378"/>
      <c r="C80" s="378"/>
      <c r="D80" s="378"/>
      <c r="E80" s="378"/>
      <c r="F80" s="378"/>
      <c r="G80" s="378"/>
      <c r="H80" s="378"/>
      <c r="I80" s="378"/>
      <c r="J80" s="378"/>
      <c r="K80" s="378"/>
      <c r="L80" s="378"/>
    </row>
    <row r="81" spans="1:12" ht="23.25">
      <c r="A81" s="379" t="s">
        <v>629</v>
      </c>
      <c r="B81" s="379"/>
      <c r="C81" s="379"/>
      <c r="D81" s="379"/>
      <c r="E81" s="379"/>
      <c r="F81" s="379"/>
      <c r="G81" s="379"/>
      <c r="H81" s="379"/>
      <c r="I81" s="379"/>
      <c r="J81" s="379"/>
      <c r="K81" s="379"/>
      <c r="L81" s="379"/>
    </row>
    <row r="82" spans="1:12" ht="21.75">
      <c r="A82" s="274" t="s">
        <v>621</v>
      </c>
      <c r="B82" s="349" t="s">
        <v>302</v>
      </c>
      <c r="C82" s="351" t="s">
        <v>303</v>
      </c>
      <c r="D82" s="375" t="s">
        <v>254</v>
      </c>
      <c r="E82" s="375" t="s">
        <v>304</v>
      </c>
      <c r="F82" s="375" t="s">
        <v>305</v>
      </c>
      <c r="G82" s="375" t="s">
        <v>306</v>
      </c>
      <c r="H82" s="375" t="s">
        <v>307</v>
      </c>
      <c r="I82" s="160" t="s">
        <v>622</v>
      </c>
      <c r="J82" s="262">
        <v>0.05</v>
      </c>
      <c r="K82" s="262">
        <v>0.06</v>
      </c>
      <c r="L82" s="160" t="s">
        <v>623</v>
      </c>
    </row>
    <row r="83" spans="1:12" ht="21.75">
      <c r="A83" s="275" t="s">
        <v>624</v>
      </c>
      <c r="B83" s="350"/>
      <c r="C83" s="377"/>
      <c r="D83" s="376"/>
      <c r="E83" s="376"/>
      <c r="F83" s="376"/>
      <c r="G83" s="376"/>
      <c r="H83" s="376"/>
      <c r="I83" s="263">
        <v>0.89</v>
      </c>
      <c r="J83" s="263"/>
      <c r="K83" s="263"/>
      <c r="L83" s="215" t="s">
        <v>625</v>
      </c>
    </row>
    <row r="84" spans="1:12" ht="21.75">
      <c r="A84" s="161">
        <v>31</v>
      </c>
      <c r="B84" s="182" t="s">
        <v>533</v>
      </c>
      <c r="C84" s="295" t="s">
        <v>434</v>
      </c>
      <c r="D84" s="283">
        <v>168</v>
      </c>
      <c r="E84" s="283">
        <v>1</v>
      </c>
      <c r="F84" s="283" t="s">
        <v>489</v>
      </c>
      <c r="G84" s="283" t="s">
        <v>309</v>
      </c>
      <c r="H84" s="283" t="s">
        <v>310</v>
      </c>
      <c r="I84" s="284">
        <v>9.82</v>
      </c>
      <c r="J84" s="287">
        <v>0.55</v>
      </c>
      <c r="K84" s="287">
        <v>0.66</v>
      </c>
      <c r="L84" s="166">
        <f>+I84+J84+K84</f>
        <v>11.030000000000001</v>
      </c>
    </row>
    <row r="85" spans="1:12" ht="21.75">
      <c r="A85" s="165">
        <v>32</v>
      </c>
      <c r="B85" s="163" t="s">
        <v>534</v>
      </c>
      <c r="C85" s="164" t="s">
        <v>535</v>
      </c>
      <c r="D85" s="278">
        <v>1024</v>
      </c>
      <c r="E85" s="213" t="s">
        <v>536</v>
      </c>
      <c r="F85" s="165" t="s">
        <v>490</v>
      </c>
      <c r="G85" s="165" t="s">
        <v>491</v>
      </c>
      <c r="H85" s="165" t="s">
        <v>311</v>
      </c>
      <c r="I85" s="166">
        <v>31.4437</v>
      </c>
      <c r="J85" s="166">
        <v>1.7665</v>
      </c>
      <c r="K85" s="168">
        <v>2.119799999999999</v>
      </c>
      <c r="L85" s="168">
        <v>35.33</v>
      </c>
    </row>
    <row r="86" spans="1:12" ht="21.75">
      <c r="A86" s="165">
        <v>33</v>
      </c>
      <c r="B86" s="163" t="s">
        <v>448</v>
      </c>
      <c r="C86" s="164" t="s">
        <v>449</v>
      </c>
      <c r="D86" s="165">
        <v>7</v>
      </c>
      <c r="E86" s="165">
        <v>4</v>
      </c>
      <c r="F86" s="213" t="s">
        <v>450</v>
      </c>
      <c r="G86" s="213" t="s">
        <v>450</v>
      </c>
      <c r="H86" s="165" t="s">
        <v>310</v>
      </c>
      <c r="I86" s="168">
        <v>8.606300000000001</v>
      </c>
      <c r="J86" s="168">
        <v>0.48350000000000004</v>
      </c>
      <c r="K86" s="168">
        <v>0.5801999999999989</v>
      </c>
      <c r="L86" s="168">
        <v>9.67</v>
      </c>
    </row>
    <row r="87" spans="1:12" ht="21.75">
      <c r="A87" s="217">
        <v>34</v>
      </c>
      <c r="B87" s="228" t="s">
        <v>451</v>
      </c>
      <c r="C87" s="296" t="s">
        <v>452</v>
      </c>
      <c r="D87" s="297" t="s">
        <v>453</v>
      </c>
      <c r="E87" s="269" t="s">
        <v>454</v>
      </c>
      <c r="F87" s="269" t="s">
        <v>455</v>
      </c>
      <c r="G87" s="269" t="s">
        <v>456</v>
      </c>
      <c r="H87" s="227" t="s">
        <v>311</v>
      </c>
      <c r="I87" s="230">
        <v>2.225</v>
      </c>
      <c r="J87" s="230">
        <v>0.12</v>
      </c>
      <c r="K87" s="230">
        <v>0.15</v>
      </c>
      <c r="L87" s="230">
        <v>2.5</v>
      </c>
    </row>
    <row r="88" spans="1:12" ht="22.5" thickBot="1">
      <c r="A88" s="348" t="s">
        <v>61</v>
      </c>
      <c r="B88" s="348"/>
      <c r="C88" s="348"/>
      <c r="D88" s="348"/>
      <c r="E88" s="348"/>
      <c r="F88" s="348"/>
      <c r="G88" s="348"/>
      <c r="H88" s="348"/>
      <c r="I88" s="298">
        <f>SUM(I84:I87)</f>
        <v>52.095000000000006</v>
      </c>
      <c r="J88" s="298">
        <f>SUM(J84:J87)</f>
        <v>2.92</v>
      </c>
      <c r="K88" s="298">
        <f>SUM(K84:K87)</f>
        <v>3.5099999999999976</v>
      </c>
      <c r="L88" s="298">
        <f>SUM(L84:L87)</f>
        <v>58.53</v>
      </c>
    </row>
    <row r="89" spans="1:12" ht="23.25" thickBot="1" thickTop="1">
      <c r="A89" s="353" t="s">
        <v>61</v>
      </c>
      <c r="B89" s="354"/>
      <c r="C89" s="354"/>
      <c r="D89" s="354"/>
      <c r="E89" s="354"/>
      <c r="F89" s="354"/>
      <c r="G89" s="354"/>
      <c r="H89" s="355"/>
      <c r="I89" s="299">
        <f>192.08+324.44+855.3+52.1</f>
        <v>1423.9199999999998</v>
      </c>
      <c r="J89" s="299">
        <f>+J13+J35+J75+J88</f>
        <v>79.97850000000001</v>
      </c>
      <c r="K89" s="299">
        <f>+K13+K35+K75+K88</f>
        <v>95.9331</v>
      </c>
      <c r="L89" s="299">
        <f>+L13+L35+L75+L88</f>
        <v>1599.8299999999997</v>
      </c>
    </row>
    <row r="90" ht="22.5" thickTop="1"/>
    <row r="92" spans="1:12" ht="23.25">
      <c r="A92" s="374"/>
      <c r="B92" s="374"/>
      <c r="C92" s="374"/>
      <c r="D92" s="374"/>
      <c r="E92" s="374"/>
      <c r="F92" s="374"/>
      <c r="G92" s="374"/>
      <c r="H92" s="374"/>
      <c r="I92" s="374"/>
      <c r="J92" s="374"/>
      <c r="K92" s="374"/>
      <c r="L92" s="374"/>
    </row>
    <row r="93" spans="1:12" ht="23.25">
      <c r="A93" s="374"/>
      <c r="B93" s="374"/>
      <c r="C93" s="374"/>
      <c r="D93" s="374"/>
      <c r="E93" s="374"/>
      <c r="F93" s="374"/>
      <c r="G93" s="374"/>
      <c r="H93" s="374"/>
      <c r="I93" s="374"/>
      <c r="J93" s="374"/>
      <c r="K93" s="374"/>
      <c r="L93" s="374"/>
    </row>
    <row r="94" spans="1:7" ht="23.25">
      <c r="A94" s="236"/>
      <c r="B94" s="236"/>
      <c r="C94" s="236"/>
      <c r="D94" s="236"/>
      <c r="E94" s="236"/>
      <c r="F94" s="236"/>
      <c r="G94" s="236"/>
    </row>
    <row r="95" spans="1:7" ht="21.75">
      <c r="A95" s="356"/>
      <c r="B95" s="356"/>
      <c r="C95" s="356"/>
      <c r="D95" s="356"/>
      <c r="E95" s="357"/>
      <c r="F95" s="357"/>
      <c r="G95" s="356"/>
    </row>
    <row r="96" spans="1:7" ht="21.75">
      <c r="A96" s="356"/>
      <c r="B96" s="356"/>
      <c r="C96" s="356"/>
      <c r="D96" s="356"/>
      <c r="E96" s="235"/>
      <c r="F96" s="235"/>
      <c r="G96" s="356"/>
    </row>
    <row r="97" spans="1:7" ht="21.75">
      <c r="A97" s="235"/>
      <c r="B97" s="159"/>
      <c r="C97" s="159"/>
      <c r="D97" s="235"/>
      <c r="E97" s="300"/>
      <c r="F97" s="159"/>
      <c r="G97" s="159"/>
    </row>
  </sheetData>
  <mergeCells count="52">
    <mergeCell ref="A1:L1"/>
    <mergeCell ref="A2:L2"/>
    <mergeCell ref="A3:L3"/>
    <mergeCell ref="B4:B5"/>
    <mergeCell ref="C4:C5"/>
    <mergeCell ref="D4:D5"/>
    <mergeCell ref="E4:E5"/>
    <mergeCell ref="F4:F5"/>
    <mergeCell ref="G4:G5"/>
    <mergeCell ref="H4:H5"/>
    <mergeCell ref="A13:H13"/>
    <mergeCell ref="A18:L18"/>
    <mergeCell ref="A19:L19"/>
    <mergeCell ref="A20:L20"/>
    <mergeCell ref="F21:F22"/>
    <mergeCell ref="G21:G22"/>
    <mergeCell ref="H21:H22"/>
    <mergeCell ref="A35:H35"/>
    <mergeCell ref="B21:B22"/>
    <mergeCell ref="C21:C22"/>
    <mergeCell ref="D21:D22"/>
    <mergeCell ref="E21:E22"/>
    <mergeCell ref="A40:L40"/>
    <mergeCell ref="A41:L41"/>
    <mergeCell ref="A42:L42"/>
    <mergeCell ref="B43:B44"/>
    <mergeCell ref="C43:C44"/>
    <mergeCell ref="D43:D44"/>
    <mergeCell ref="E43:E44"/>
    <mergeCell ref="F43:F44"/>
    <mergeCell ref="G43:G44"/>
    <mergeCell ref="H43:H44"/>
    <mergeCell ref="A75:H75"/>
    <mergeCell ref="A79:L79"/>
    <mergeCell ref="A80:L80"/>
    <mergeCell ref="A81:L81"/>
    <mergeCell ref="F82:F83"/>
    <mergeCell ref="G82:G83"/>
    <mergeCell ref="H82:H83"/>
    <mergeCell ref="A88:H88"/>
    <mergeCell ref="B82:B83"/>
    <mergeCell ref="C82:C83"/>
    <mergeCell ref="D82:D83"/>
    <mergeCell ref="E82:E83"/>
    <mergeCell ref="A89:H89"/>
    <mergeCell ref="A92:L92"/>
    <mergeCell ref="A93:L93"/>
    <mergeCell ref="A95:A96"/>
    <mergeCell ref="B95:C96"/>
    <mergeCell ref="D95:D96"/>
    <mergeCell ref="E95:F95"/>
    <mergeCell ref="G95:G96"/>
  </mergeCells>
  <printOptions/>
  <pageMargins left="0.7480314960629921" right="0.31496062992125984" top="0.7874015748031497" bottom="0.6299212598425197" header="0.5118110236220472" footer="0.5118110236220472"/>
  <pageSetup horizontalDpi="600" verticalDpi="600" orientation="portrait" pageOrder="overThenDown" paperSize="9" scale="9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pane ySplit="5" topLeftCell="BM6" activePane="bottomLeft" state="frozen"/>
      <selection pane="topLeft" activeCell="A1" sqref="A1"/>
      <selection pane="bottomLeft" activeCell="H33" sqref="H33"/>
    </sheetView>
  </sheetViews>
  <sheetFormatPr defaultColWidth="9.140625" defaultRowHeight="21.75"/>
  <cols>
    <col min="1" max="1" width="6.00390625" style="0" customWidth="1"/>
    <col min="2" max="2" width="10.28125" style="0" customWidth="1"/>
    <col min="3" max="3" width="14.00390625" style="0" customWidth="1"/>
    <col min="4" max="4" width="12.140625" style="0" customWidth="1"/>
    <col min="5" max="5" width="26.7109375" style="0" customWidth="1"/>
    <col min="6" max="6" width="7.57421875" style="0" customWidth="1"/>
    <col min="7" max="7" width="13.00390625" style="0" customWidth="1"/>
  </cols>
  <sheetData>
    <row r="1" spans="1:8" ht="25.5">
      <c r="A1" s="387" t="s">
        <v>386</v>
      </c>
      <c r="B1" s="387"/>
      <c r="C1" s="387"/>
      <c r="D1" s="387"/>
      <c r="E1" s="387"/>
      <c r="F1" s="387"/>
      <c r="G1" s="387"/>
      <c r="H1" s="387"/>
    </row>
    <row r="2" spans="1:8" ht="25.5">
      <c r="A2" s="387" t="s">
        <v>387</v>
      </c>
      <c r="B2" s="387"/>
      <c r="C2" s="387"/>
      <c r="D2" s="387"/>
      <c r="E2" s="387"/>
      <c r="F2" s="387"/>
      <c r="G2" s="387"/>
      <c r="H2" s="387"/>
    </row>
    <row r="3" spans="1:8" ht="25.5">
      <c r="A3" s="387" t="s">
        <v>608</v>
      </c>
      <c r="B3" s="387"/>
      <c r="C3" s="387"/>
      <c r="D3" s="387"/>
      <c r="E3" s="387"/>
      <c r="F3" s="387"/>
      <c r="G3" s="387"/>
      <c r="H3" s="387"/>
    </row>
    <row r="4" spans="1:8" ht="21.75">
      <c r="A4" s="173"/>
      <c r="B4" s="173"/>
      <c r="C4" s="173"/>
      <c r="D4" s="173"/>
      <c r="E4" s="173"/>
      <c r="F4" s="173"/>
      <c r="G4" s="173"/>
      <c r="H4" s="173"/>
    </row>
    <row r="5" spans="1:8" ht="21.75">
      <c r="A5" s="174" t="s">
        <v>253</v>
      </c>
      <c r="B5" s="174" t="s">
        <v>240</v>
      </c>
      <c r="C5" s="388" t="s">
        <v>388</v>
      </c>
      <c r="D5" s="388"/>
      <c r="E5" s="174" t="s">
        <v>389</v>
      </c>
      <c r="F5" s="174" t="s">
        <v>241</v>
      </c>
      <c r="G5" s="174" t="s">
        <v>429</v>
      </c>
      <c r="H5" s="173"/>
    </row>
    <row r="6" spans="1:8" ht="21.75">
      <c r="A6" s="161">
        <v>1</v>
      </c>
      <c r="B6" s="252" t="s">
        <v>242</v>
      </c>
      <c r="C6" s="204" t="s">
        <v>391</v>
      </c>
      <c r="D6" s="205" t="s">
        <v>392</v>
      </c>
      <c r="E6" s="253" t="s">
        <v>393</v>
      </c>
      <c r="F6" s="161">
        <v>2</v>
      </c>
      <c r="G6" s="254">
        <v>60000</v>
      </c>
      <c r="H6" s="173"/>
    </row>
    <row r="7" spans="1:8" ht="21.75">
      <c r="A7" s="165">
        <v>2</v>
      </c>
      <c r="B7" s="183" t="s">
        <v>243</v>
      </c>
      <c r="C7" s="207" t="s">
        <v>394</v>
      </c>
      <c r="D7" s="208" t="s">
        <v>395</v>
      </c>
      <c r="E7" s="255" t="s">
        <v>396</v>
      </c>
      <c r="F7" s="165">
        <v>4</v>
      </c>
      <c r="G7" s="256">
        <v>30000</v>
      </c>
      <c r="H7" s="173"/>
    </row>
    <row r="8" spans="1:8" ht="21.75">
      <c r="A8" s="165">
        <v>3</v>
      </c>
      <c r="B8" s="183" t="s">
        <v>244</v>
      </c>
      <c r="C8" s="207" t="s">
        <v>397</v>
      </c>
      <c r="D8" s="208" t="s">
        <v>398</v>
      </c>
      <c r="E8" s="255" t="s">
        <v>399</v>
      </c>
      <c r="F8" s="165">
        <v>2</v>
      </c>
      <c r="G8" s="256">
        <v>100000</v>
      </c>
      <c r="H8" s="173"/>
    </row>
    <row r="9" spans="1:8" ht="21.75">
      <c r="A9" s="165">
        <v>4</v>
      </c>
      <c r="B9" s="183" t="s">
        <v>245</v>
      </c>
      <c r="C9" s="207" t="s">
        <v>403</v>
      </c>
      <c r="D9" s="208" t="s">
        <v>404</v>
      </c>
      <c r="E9" s="255" t="s">
        <v>405</v>
      </c>
      <c r="F9" s="165">
        <v>7</v>
      </c>
      <c r="G9" s="256">
        <v>20000</v>
      </c>
      <c r="H9" s="173"/>
    </row>
    <row r="10" spans="1:8" ht="21.75">
      <c r="A10" s="165">
        <v>5</v>
      </c>
      <c r="B10" s="183" t="s">
        <v>246</v>
      </c>
      <c r="C10" s="207" t="s">
        <v>407</v>
      </c>
      <c r="D10" s="208" t="s">
        <v>408</v>
      </c>
      <c r="E10" s="255" t="s">
        <v>409</v>
      </c>
      <c r="F10" s="165">
        <v>8</v>
      </c>
      <c r="G10" s="256">
        <v>100000</v>
      </c>
      <c r="H10" s="173"/>
    </row>
    <row r="11" spans="1:8" ht="21.75">
      <c r="A11" s="165">
        <v>6</v>
      </c>
      <c r="B11" s="183" t="s">
        <v>247</v>
      </c>
      <c r="C11" s="207" t="s">
        <v>410</v>
      </c>
      <c r="D11" s="208" t="s">
        <v>411</v>
      </c>
      <c r="E11" s="255" t="s">
        <v>412</v>
      </c>
      <c r="F11" s="165">
        <v>9</v>
      </c>
      <c r="G11" s="256">
        <v>12000</v>
      </c>
      <c r="H11" s="173"/>
    </row>
    <row r="12" spans="1:8" ht="21.75">
      <c r="A12" s="165">
        <v>7</v>
      </c>
      <c r="B12" s="183" t="s">
        <v>248</v>
      </c>
      <c r="C12" s="207" t="s">
        <v>413</v>
      </c>
      <c r="D12" s="208" t="s">
        <v>414</v>
      </c>
      <c r="E12" s="255" t="s">
        <v>415</v>
      </c>
      <c r="F12" s="165">
        <v>9</v>
      </c>
      <c r="G12" s="256">
        <v>70000</v>
      </c>
      <c r="H12" s="173"/>
    </row>
    <row r="13" spans="1:8" ht="21.75">
      <c r="A13" s="165">
        <v>8</v>
      </c>
      <c r="B13" s="183" t="s">
        <v>249</v>
      </c>
      <c r="C13" s="207" t="s">
        <v>416</v>
      </c>
      <c r="D13" s="208" t="s">
        <v>417</v>
      </c>
      <c r="E13" s="255" t="s">
        <v>418</v>
      </c>
      <c r="F13" s="165">
        <v>6</v>
      </c>
      <c r="G13" s="256">
        <v>21600</v>
      </c>
      <c r="H13" s="173"/>
    </row>
    <row r="14" spans="1:8" ht="21.75">
      <c r="A14" s="165">
        <v>9</v>
      </c>
      <c r="B14" s="183" t="s">
        <v>250</v>
      </c>
      <c r="C14" s="207" t="s">
        <v>419</v>
      </c>
      <c r="D14" s="208" t="s">
        <v>420</v>
      </c>
      <c r="E14" s="255" t="s">
        <v>421</v>
      </c>
      <c r="F14" s="165">
        <v>10</v>
      </c>
      <c r="G14" s="256">
        <v>50000</v>
      </c>
      <c r="H14" s="173"/>
    </row>
    <row r="15" spans="1:8" ht="21.75">
      <c r="A15" s="165">
        <v>10</v>
      </c>
      <c r="B15" s="183" t="s">
        <v>251</v>
      </c>
      <c r="C15" s="207" t="s">
        <v>422</v>
      </c>
      <c r="D15" s="208" t="s">
        <v>423</v>
      </c>
      <c r="E15" s="255" t="s">
        <v>424</v>
      </c>
      <c r="F15" s="165">
        <v>6</v>
      </c>
      <c r="G15" s="256">
        <v>20000</v>
      </c>
      <c r="H15" s="173"/>
    </row>
    <row r="16" spans="1:8" ht="21.75">
      <c r="A16" s="165">
        <v>11</v>
      </c>
      <c r="B16" s="183" t="s">
        <v>492</v>
      </c>
      <c r="C16" s="207" t="s">
        <v>390</v>
      </c>
      <c r="D16" s="208" t="s">
        <v>314</v>
      </c>
      <c r="E16" s="255" t="s">
        <v>493</v>
      </c>
      <c r="F16" s="165">
        <v>1</v>
      </c>
      <c r="G16" s="256">
        <v>70000</v>
      </c>
      <c r="H16" s="173"/>
    </row>
    <row r="17" spans="1:8" ht="21.75">
      <c r="A17" s="165">
        <v>12</v>
      </c>
      <c r="B17" s="183" t="s">
        <v>494</v>
      </c>
      <c r="C17" s="207" t="s">
        <v>495</v>
      </c>
      <c r="D17" s="208" t="s">
        <v>496</v>
      </c>
      <c r="E17" s="255" t="s">
        <v>497</v>
      </c>
      <c r="F17" s="165">
        <v>5</v>
      </c>
      <c r="G17" s="256">
        <v>50000</v>
      </c>
      <c r="H17" s="173"/>
    </row>
    <row r="18" spans="1:8" ht="21.75">
      <c r="A18" s="165">
        <v>13</v>
      </c>
      <c r="B18" s="183" t="s">
        <v>498</v>
      </c>
      <c r="C18" s="207" t="s">
        <v>400</v>
      </c>
      <c r="D18" s="208" t="s">
        <v>401</v>
      </c>
      <c r="E18" s="255" t="s">
        <v>402</v>
      </c>
      <c r="F18" s="165">
        <v>5</v>
      </c>
      <c r="G18" s="256">
        <v>35000</v>
      </c>
      <c r="H18" s="173"/>
    </row>
    <row r="19" spans="1:8" ht="21.75">
      <c r="A19" s="165">
        <v>14</v>
      </c>
      <c r="B19" s="183" t="s">
        <v>499</v>
      </c>
      <c r="C19" s="207" t="s">
        <v>500</v>
      </c>
      <c r="D19" s="208" t="s">
        <v>501</v>
      </c>
      <c r="E19" s="255" t="s">
        <v>502</v>
      </c>
      <c r="F19" s="165">
        <v>11</v>
      </c>
      <c r="G19" s="256">
        <v>40000</v>
      </c>
      <c r="H19" s="173"/>
    </row>
    <row r="20" spans="1:8" ht="21.75">
      <c r="A20" s="165">
        <v>15</v>
      </c>
      <c r="B20" s="183" t="s">
        <v>503</v>
      </c>
      <c r="C20" s="207" t="s">
        <v>504</v>
      </c>
      <c r="D20" s="208" t="s">
        <v>406</v>
      </c>
      <c r="E20" s="255" t="s">
        <v>505</v>
      </c>
      <c r="F20" s="165">
        <v>11</v>
      </c>
      <c r="G20" s="256">
        <v>20000</v>
      </c>
      <c r="H20" s="173"/>
    </row>
    <row r="21" spans="1:8" ht="21.75">
      <c r="A21" s="217">
        <v>16</v>
      </c>
      <c r="B21" s="257" t="s">
        <v>506</v>
      </c>
      <c r="C21" s="258" t="s">
        <v>507</v>
      </c>
      <c r="D21" s="259" t="s">
        <v>406</v>
      </c>
      <c r="E21" s="260" t="s">
        <v>508</v>
      </c>
      <c r="F21" s="217">
        <v>11</v>
      </c>
      <c r="G21" s="261">
        <v>20000</v>
      </c>
      <c r="H21" s="173"/>
    </row>
    <row r="22" spans="1:8" ht="21.75">
      <c r="A22" s="384" t="s">
        <v>61</v>
      </c>
      <c r="B22" s="385"/>
      <c r="C22" s="385"/>
      <c r="D22" s="385"/>
      <c r="E22" s="385"/>
      <c r="F22" s="386"/>
      <c r="G22" s="175">
        <f>SUM(G6:G21)</f>
        <v>718600</v>
      </c>
      <c r="H22" s="173"/>
    </row>
    <row r="23" spans="1:8" ht="21.75">
      <c r="A23" s="173"/>
      <c r="B23" s="173"/>
      <c r="C23" s="173"/>
      <c r="D23" s="173"/>
      <c r="E23" s="173"/>
      <c r="F23" s="173"/>
      <c r="G23" s="173"/>
      <c r="H23" s="173"/>
    </row>
    <row r="24" spans="1:8" ht="21.75">
      <c r="A24" s="173"/>
      <c r="B24" s="173"/>
      <c r="C24" s="173"/>
      <c r="D24" s="173"/>
      <c r="E24" s="173"/>
      <c r="F24" s="173"/>
      <c r="G24" s="173"/>
      <c r="H24" s="173"/>
    </row>
    <row r="25" spans="1:8" ht="21.75">
      <c r="A25" s="159"/>
      <c r="B25" s="159" t="s">
        <v>609</v>
      </c>
      <c r="C25" s="159"/>
      <c r="D25" s="159"/>
      <c r="E25" s="159" t="s">
        <v>610</v>
      </c>
      <c r="F25" s="159"/>
      <c r="G25" s="159"/>
      <c r="H25" s="176"/>
    </row>
    <row r="26" spans="1:8" ht="21.75">
      <c r="A26" s="159"/>
      <c r="B26" s="159" t="s">
        <v>611</v>
      </c>
      <c r="C26" s="159"/>
      <c r="D26" s="159"/>
      <c r="E26" s="159" t="s">
        <v>612</v>
      </c>
      <c r="F26" s="159"/>
      <c r="G26" s="159"/>
      <c r="H26" s="176"/>
    </row>
    <row r="27" spans="1:8" ht="21.75">
      <c r="A27" s="159" t="s">
        <v>613</v>
      </c>
      <c r="B27" s="159"/>
      <c r="C27" s="159"/>
      <c r="D27" s="159"/>
      <c r="E27" s="159" t="s">
        <v>614</v>
      </c>
      <c r="F27" s="159"/>
      <c r="G27" s="159"/>
      <c r="H27" s="176"/>
    </row>
    <row r="28" spans="1:8" ht="21.75">
      <c r="A28" s="159"/>
      <c r="B28" s="159" t="s">
        <v>615</v>
      </c>
      <c r="C28" s="159"/>
      <c r="D28" s="159"/>
      <c r="E28" s="159"/>
      <c r="F28" s="159"/>
      <c r="G28" s="159"/>
      <c r="H28" s="173"/>
    </row>
    <row r="29" spans="1:8" ht="21.75">
      <c r="A29" s="159"/>
      <c r="B29" s="159"/>
      <c r="C29" s="159"/>
      <c r="D29" s="159"/>
      <c r="E29" s="159"/>
      <c r="F29" s="159"/>
      <c r="G29" s="159"/>
      <c r="H29" s="173"/>
    </row>
    <row r="30" spans="1:8" ht="21.75">
      <c r="A30" s="159"/>
      <c r="B30" s="159"/>
      <c r="C30" s="159"/>
      <c r="D30" s="159"/>
      <c r="E30" s="159"/>
      <c r="F30" s="159"/>
      <c r="G30" s="159"/>
      <c r="H30" s="173"/>
    </row>
    <row r="31" spans="1:7" ht="21.75">
      <c r="A31" s="159"/>
      <c r="B31" s="159"/>
      <c r="C31" s="159"/>
      <c r="D31" s="159"/>
      <c r="E31" s="159"/>
      <c r="F31" s="159"/>
      <c r="G31" s="159"/>
    </row>
    <row r="32" spans="1:7" ht="21.75">
      <c r="A32" s="159"/>
      <c r="B32" s="159"/>
      <c r="C32" s="159" t="s">
        <v>616</v>
      </c>
      <c r="D32" s="159"/>
      <c r="E32" s="159"/>
      <c r="F32" s="159"/>
      <c r="G32" s="159"/>
    </row>
    <row r="33" spans="1:7" ht="21.75">
      <c r="A33" s="159"/>
      <c r="B33" s="159"/>
      <c r="C33" s="159" t="s">
        <v>617</v>
      </c>
      <c r="D33" s="159"/>
      <c r="E33" s="159"/>
      <c r="F33" s="159"/>
      <c r="G33" s="159"/>
    </row>
    <row r="34" spans="1:7" ht="21.75">
      <c r="A34" s="159"/>
      <c r="B34" s="159"/>
      <c r="C34" s="159" t="s">
        <v>618</v>
      </c>
      <c r="D34" s="159"/>
      <c r="E34" s="159"/>
      <c r="F34" s="159"/>
      <c r="G34" s="159"/>
    </row>
    <row r="35" spans="1:7" ht="21.75">
      <c r="A35" s="159"/>
      <c r="B35" s="159"/>
      <c r="C35" s="159"/>
      <c r="D35" s="159"/>
      <c r="E35" s="159"/>
      <c r="F35" s="159"/>
      <c r="G35" s="159"/>
    </row>
  </sheetData>
  <mergeCells count="5">
    <mergeCell ref="A22:F22"/>
    <mergeCell ref="A1:H1"/>
    <mergeCell ref="A2:H2"/>
    <mergeCell ref="A3:H3"/>
    <mergeCell ref="C5:D5"/>
  </mergeCells>
  <printOptions/>
  <pageMargins left="0.86" right="0.75" top="0.74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20" sqref="A20:C20"/>
    </sheetView>
  </sheetViews>
  <sheetFormatPr defaultColWidth="9.140625" defaultRowHeight="21.75"/>
  <cols>
    <col min="1" max="1" width="10.140625" style="1" customWidth="1"/>
    <col min="2" max="2" width="72.7109375" style="1" customWidth="1"/>
    <col min="3" max="3" width="17.57421875" style="1" customWidth="1"/>
    <col min="4" max="4" width="15.7109375" style="1" customWidth="1"/>
    <col min="5" max="5" width="14.140625" style="1" customWidth="1"/>
    <col min="6" max="16384" width="9.140625" style="1" customWidth="1"/>
  </cols>
  <sheetData>
    <row r="1" spans="1:3" ht="23.25">
      <c r="A1" s="361" t="s">
        <v>239</v>
      </c>
      <c r="B1" s="361"/>
      <c r="C1" s="361"/>
    </row>
    <row r="2" spans="1:3" ht="23.25">
      <c r="A2" s="361" t="s">
        <v>0</v>
      </c>
      <c r="B2" s="361"/>
      <c r="C2" s="361"/>
    </row>
    <row r="3" spans="1:3" ht="23.25">
      <c r="A3" s="361" t="s">
        <v>521</v>
      </c>
      <c r="B3" s="361"/>
      <c r="C3" s="361"/>
    </row>
    <row r="4" spans="1:3" ht="23.25">
      <c r="A4" s="361" t="s">
        <v>465</v>
      </c>
      <c r="B4" s="361"/>
      <c r="C4" s="361"/>
    </row>
    <row r="5" spans="1:3" ht="23.25">
      <c r="A5" s="2"/>
      <c r="B5" s="2"/>
      <c r="C5" s="2"/>
    </row>
    <row r="7" ht="23.25">
      <c r="A7" s="1" t="s">
        <v>283</v>
      </c>
    </row>
    <row r="9" spans="1:3" s="5" customFormat="1" ht="23.25">
      <c r="A9" s="5" t="s">
        <v>70</v>
      </c>
      <c r="B9" s="5" t="s">
        <v>5</v>
      </c>
      <c r="C9" s="5" t="s">
        <v>71</v>
      </c>
    </row>
    <row r="10" spans="1:3" ht="23.25">
      <c r="A10" s="5">
        <v>1</v>
      </c>
      <c r="B10" s="1" t="s">
        <v>471</v>
      </c>
      <c r="C10" s="232">
        <v>0</v>
      </c>
    </row>
    <row r="11" spans="1:3" ht="24" thickBot="1">
      <c r="A11" s="5"/>
      <c r="B11" s="5" t="s">
        <v>266</v>
      </c>
      <c r="C11" s="198">
        <f>SUM(C10:C10)</f>
        <v>0</v>
      </c>
    </row>
    <row r="12" spans="2:4" ht="26.25" thickTop="1">
      <c r="B12" s="2"/>
      <c r="C12" s="123"/>
      <c r="D12" s="12"/>
    </row>
    <row r="13" spans="2:5" ht="25.5">
      <c r="B13" s="2"/>
      <c r="C13" s="123"/>
      <c r="D13" s="12"/>
      <c r="E13" s="12"/>
    </row>
    <row r="14" spans="2:4" ht="25.5">
      <c r="B14" s="2"/>
      <c r="C14" s="60"/>
      <c r="D14" s="12"/>
    </row>
    <row r="15" spans="1:4" ht="23.25">
      <c r="A15" s="389" t="s">
        <v>519</v>
      </c>
      <c r="B15" s="389"/>
      <c r="C15" s="389"/>
      <c r="D15" s="5"/>
    </row>
    <row r="16" spans="1:6" ht="23.25">
      <c r="A16" s="389" t="s">
        <v>518</v>
      </c>
      <c r="B16" s="389"/>
      <c r="C16" s="389"/>
      <c r="D16" s="5"/>
      <c r="E16" s="5"/>
      <c r="F16" s="5"/>
    </row>
    <row r="17" spans="1:6" ht="23.25">
      <c r="A17" s="370" t="s">
        <v>368</v>
      </c>
      <c r="B17" s="370"/>
      <c r="C17" s="370"/>
      <c r="D17" s="5"/>
      <c r="E17" s="5"/>
      <c r="F17" s="5"/>
    </row>
    <row r="18" spans="1:6" ht="23.25">
      <c r="A18" s="39"/>
      <c r="B18" s="39"/>
      <c r="C18" s="39"/>
      <c r="D18" s="5"/>
      <c r="E18" s="5"/>
      <c r="F18" s="5"/>
    </row>
    <row r="19" spans="2:4" ht="23.25">
      <c r="B19" s="30" t="s">
        <v>473</v>
      </c>
      <c r="C19" s="15"/>
      <c r="D19" s="5"/>
    </row>
    <row r="20" spans="1:3" ht="23.25">
      <c r="A20" s="370"/>
      <c r="B20" s="370"/>
      <c r="C20" s="370"/>
    </row>
    <row r="21" spans="1:3" ht="23.25">
      <c r="A21" s="370" t="s">
        <v>516</v>
      </c>
      <c r="B21" s="370"/>
      <c r="C21" s="370"/>
    </row>
    <row r="22" spans="1:3" ht="23.25">
      <c r="A22" s="370" t="s">
        <v>336</v>
      </c>
      <c r="B22" s="370"/>
      <c r="C22" s="370"/>
    </row>
    <row r="23" spans="1:3" ht="23.25">
      <c r="A23" s="370" t="s">
        <v>517</v>
      </c>
      <c r="B23" s="370"/>
      <c r="C23" s="370"/>
    </row>
    <row r="24" spans="1:3" ht="23.25">
      <c r="A24" s="370" t="s">
        <v>293</v>
      </c>
      <c r="B24" s="370"/>
      <c r="C24" s="370"/>
    </row>
    <row r="25" spans="1:3" ht="23.25">
      <c r="A25" s="114"/>
      <c r="B25" s="114"/>
      <c r="C25" s="114"/>
    </row>
    <row r="26" spans="1:3" ht="23.25">
      <c r="A26" s="114"/>
      <c r="B26" s="114"/>
      <c r="C26" s="114"/>
    </row>
    <row r="27" spans="1:3" ht="23.25">
      <c r="A27" s="114"/>
      <c r="B27" s="114"/>
      <c r="C27" s="114"/>
    </row>
  </sheetData>
  <mergeCells count="12">
    <mergeCell ref="A15:C15"/>
    <mergeCell ref="A17:C17"/>
    <mergeCell ref="A22:C22"/>
    <mergeCell ref="A23:C23"/>
    <mergeCell ref="A24:C24"/>
    <mergeCell ref="A1:C1"/>
    <mergeCell ref="A2:C2"/>
    <mergeCell ref="A3:C3"/>
    <mergeCell ref="A4:C4"/>
    <mergeCell ref="A16:C16"/>
    <mergeCell ref="A20:C20"/>
    <mergeCell ref="A21:C21"/>
  </mergeCells>
  <printOptions/>
  <pageMargins left="0.77" right="0.38" top="0.79" bottom="0.88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E28" sqref="E28"/>
    </sheetView>
  </sheetViews>
  <sheetFormatPr defaultColWidth="9.140625" defaultRowHeight="21.75"/>
  <cols>
    <col min="1" max="1" width="11.28125" style="1" customWidth="1"/>
    <col min="2" max="2" width="64.8515625" style="1" customWidth="1"/>
    <col min="3" max="3" width="18.8515625" style="1" customWidth="1"/>
    <col min="4" max="4" width="9.140625" style="1" customWidth="1"/>
    <col min="5" max="5" width="11.28125" style="1" bestFit="1" customWidth="1"/>
    <col min="6" max="6" width="9.140625" style="1" customWidth="1"/>
    <col min="7" max="7" width="10.28125" style="1" bestFit="1" customWidth="1"/>
    <col min="8" max="16384" width="9.140625" style="1" customWidth="1"/>
  </cols>
  <sheetData>
    <row r="1" spans="1:3" ht="23.25">
      <c r="A1" s="361" t="s">
        <v>239</v>
      </c>
      <c r="B1" s="361"/>
      <c r="C1" s="361"/>
    </row>
    <row r="2" spans="1:3" ht="23.25">
      <c r="A2" s="361" t="s">
        <v>0</v>
      </c>
      <c r="B2" s="361"/>
      <c r="C2" s="361"/>
    </row>
    <row r="3" spans="1:3" ht="23.25">
      <c r="A3" s="361" t="s">
        <v>57</v>
      </c>
      <c r="B3" s="361"/>
      <c r="C3" s="361"/>
    </row>
    <row r="4" spans="1:3" ht="23.25">
      <c r="A4" s="361" t="s">
        <v>598</v>
      </c>
      <c r="B4" s="361"/>
      <c r="C4" s="361"/>
    </row>
    <row r="6" ht="23.25">
      <c r="A6" s="1" t="s">
        <v>73</v>
      </c>
    </row>
    <row r="8" spans="1:3" s="5" customFormat="1" ht="23.25">
      <c r="A8" s="5" t="s">
        <v>70</v>
      </c>
      <c r="B8" s="5" t="s">
        <v>5</v>
      </c>
      <c r="C8" s="5" t="s">
        <v>71</v>
      </c>
    </row>
    <row r="9" spans="1:5" ht="23.25">
      <c r="A9" s="5">
        <v>1</v>
      </c>
      <c r="B9" s="1" t="s">
        <v>472</v>
      </c>
      <c r="C9" s="222">
        <v>210226.2</v>
      </c>
      <c r="E9" s="180"/>
    </row>
    <row r="10" spans="1:3" ht="23.25">
      <c r="A10" s="5">
        <v>2</v>
      </c>
      <c r="B10" s="1" t="s">
        <v>599</v>
      </c>
      <c r="C10" s="222">
        <v>195720</v>
      </c>
    </row>
    <row r="11" spans="1:3" ht="23.25">
      <c r="A11" s="5">
        <v>3</v>
      </c>
      <c r="B11" s="1" t="s">
        <v>600</v>
      </c>
      <c r="C11" s="222">
        <v>216200</v>
      </c>
    </row>
    <row r="12" spans="1:7" ht="23.25">
      <c r="A12" s="5">
        <v>4</v>
      </c>
      <c r="B12" s="1" t="s">
        <v>601</v>
      </c>
      <c r="C12" s="222">
        <v>503000</v>
      </c>
      <c r="G12" s="180"/>
    </row>
    <row r="13" spans="1:7" ht="23.25">
      <c r="A13" s="5">
        <v>5</v>
      </c>
      <c r="B13" s="1" t="s">
        <v>602</v>
      </c>
      <c r="C13" s="223">
        <v>519000</v>
      </c>
      <c r="G13" s="180"/>
    </row>
    <row r="14" spans="1:3" ht="23.25">
      <c r="A14" s="5">
        <v>6</v>
      </c>
      <c r="B14" s="1" t="s">
        <v>603</v>
      </c>
      <c r="C14" s="223">
        <v>533000</v>
      </c>
    </row>
    <row r="15" spans="1:3" ht="23.25">
      <c r="A15" s="5">
        <v>7</v>
      </c>
      <c r="B15" s="1" t="s">
        <v>604</v>
      </c>
      <c r="C15" s="223">
        <v>311000</v>
      </c>
    </row>
    <row r="16" spans="1:3" ht="23.25">
      <c r="A16" s="5">
        <v>8</v>
      </c>
      <c r="B16" s="1" t="s">
        <v>605</v>
      </c>
      <c r="C16" s="224">
        <v>250000</v>
      </c>
    </row>
    <row r="17" spans="2:3" ht="25.5">
      <c r="B17" s="2" t="s">
        <v>72</v>
      </c>
      <c r="C17" s="60">
        <f>SUM(C9:C16)</f>
        <v>2738146.2</v>
      </c>
    </row>
    <row r="18" spans="2:3" ht="25.5">
      <c r="B18" s="2"/>
      <c r="C18" s="60"/>
    </row>
    <row r="19" spans="2:3" ht="25.5">
      <c r="B19" s="2"/>
      <c r="C19" s="60"/>
    </row>
    <row r="20" spans="2:3" ht="23.25">
      <c r="B20" s="2"/>
      <c r="C20" s="15"/>
    </row>
    <row r="21" spans="1:3" ht="23.25">
      <c r="A21" s="359" t="s">
        <v>367</v>
      </c>
      <c r="B21" s="359"/>
      <c r="C21" s="359"/>
    </row>
    <row r="22" spans="1:3" ht="23.25">
      <c r="A22" s="359" t="s">
        <v>560</v>
      </c>
      <c r="B22" s="359"/>
      <c r="C22" s="359"/>
    </row>
    <row r="23" spans="1:3" ht="23.25">
      <c r="A23" s="370" t="s">
        <v>561</v>
      </c>
      <c r="B23" s="370"/>
      <c r="C23" s="370"/>
    </row>
    <row r="24" spans="1:3" ht="23.25">
      <c r="A24" s="370" t="s">
        <v>562</v>
      </c>
      <c r="B24" s="370"/>
      <c r="C24" s="370"/>
    </row>
    <row r="25" spans="1:3" ht="23.25">
      <c r="A25" s="5"/>
      <c r="B25" s="5"/>
      <c r="C25" s="5"/>
    </row>
    <row r="26" spans="1:3" ht="23.25">
      <c r="A26" s="5"/>
      <c r="B26" s="5"/>
      <c r="C26" s="5"/>
    </row>
    <row r="27" spans="1:3" ht="23.25">
      <c r="A27" s="370" t="s">
        <v>470</v>
      </c>
      <c r="B27" s="370"/>
      <c r="C27" s="370"/>
    </row>
    <row r="28" spans="1:3" ht="23.25">
      <c r="A28" s="370" t="s">
        <v>336</v>
      </c>
      <c r="B28" s="370"/>
      <c r="C28" s="370"/>
    </row>
    <row r="29" spans="1:4" ht="23.25">
      <c r="A29" s="370" t="s">
        <v>563</v>
      </c>
      <c r="B29" s="370"/>
      <c r="C29" s="370"/>
      <c r="D29" s="12"/>
    </row>
    <row r="30" spans="1:4" ht="23.25">
      <c r="A30" s="199"/>
      <c r="B30" s="199"/>
      <c r="C30" s="251"/>
      <c r="D30" s="12"/>
    </row>
    <row r="31" spans="1:4" ht="23.25">
      <c r="A31" s="5"/>
      <c r="B31" s="5"/>
      <c r="C31" s="5"/>
      <c r="D31" s="5"/>
    </row>
    <row r="32" spans="1:4" ht="23.25">
      <c r="A32" s="370" t="s">
        <v>564</v>
      </c>
      <c r="B32" s="370"/>
      <c r="C32" s="370"/>
      <c r="D32" s="5"/>
    </row>
    <row r="33" spans="1:3" ht="23.25">
      <c r="A33" s="370" t="s">
        <v>565</v>
      </c>
      <c r="B33" s="370"/>
      <c r="C33" s="370"/>
    </row>
    <row r="34" spans="1:3" ht="23.25">
      <c r="A34" s="370" t="s">
        <v>293</v>
      </c>
      <c r="B34" s="370"/>
      <c r="C34" s="370"/>
    </row>
    <row r="35" spans="1:3" ht="23.25">
      <c r="A35" s="199"/>
      <c r="B35" s="199"/>
      <c r="C35" s="199"/>
    </row>
    <row r="36" spans="1:3" ht="23.25">
      <c r="A36" s="199"/>
      <c r="B36" s="199"/>
      <c r="C36" s="199"/>
    </row>
    <row r="37" spans="1:3" ht="23.25">
      <c r="A37" s="199"/>
      <c r="B37" s="199"/>
      <c r="C37" s="199"/>
    </row>
  </sheetData>
  <mergeCells count="14">
    <mergeCell ref="A34:C34"/>
    <mergeCell ref="A21:C21"/>
    <mergeCell ref="A24:C24"/>
    <mergeCell ref="A27:C27"/>
    <mergeCell ref="A33:C33"/>
    <mergeCell ref="A29:C29"/>
    <mergeCell ref="A32:C32"/>
    <mergeCell ref="A22:C22"/>
    <mergeCell ref="A28:C28"/>
    <mergeCell ref="A23:C23"/>
    <mergeCell ref="A1:C1"/>
    <mergeCell ref="A2:C2"/>
    <mergeCell ref="A3:C3"/>
    <mergeCell ref="A4:C4"/>
  </mergeCells>
  <printOptions/>
  <pageMargins left="0.67" right="0.53" top="0.79" bottom="0.62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E17" sqref="E17"/>
    </sheetView>
  </sheetViews>
  <sheetFormatPr defaultColWidth="9.140625" defaultRowHeight="21.75"/>
  <cols>
    <col min="1" max="1" width="11.28125" style="1" customWidth="1"/>
    <col min="2" max="2" width="64.7109375" style="1" customWidth="1"/>
    <col min="3" max="3" width="18.8515625" style="1" customWidth="1"/>
    <col min="4" max="16384" width="9.140625" style="1" customWidth="1"/>
  </cols>
  <sheetData>
    <row r="1" spans="1:3" ht="23.25">
      <c r="A1" s="361" t="s">
        <v>270</v>
      </c>
      <c r="B1" s="361"/>
      <c r="C1" s="361"/>
    </row>
    <row r="2" spans="1:3" ht="23.25">
      <c r="A2" s="361" t="s">
        <v>0</v>
      </c>
      <c r="B2" s="361"/>
      <c r="C2" s="361"/>
    </row>
    <row r="3" spans="1:3" ht="23.25">
      <c r="A3" s="361" t="s">
        <v>95</v>
      </c>
      <c r="B3" s="361"/>
      <c r="C3" s="361"/>
    </row>
    <row r="4" spans="1:3" ht="23.25">
      <c r="A4" s="361" t="s">
        <v>598</v>
      </c>
      <c r="B4" s="361"/>
      <c r="C4" s="361"/>
    </row>
    <row r="6" ht="23.25">
      <c r="A6" s="1" t="s">
        <v>96</v>
      </c>
    </row>
    <row r="8" spans="1:3" s="5" customFormat="1" ht="23.25">
      <c r="A8" s="5" t="s">
        <v>70</v>
      </c>
      <c r="B8" s="5" t="s">
        <v>5</v>
      </c>
      <c r="C8" s="5" t="s">
        <v>71</v>
      </c>
    </row>
    <row r="9" spans="1:3" ht="23.25">
      <c r="A9" s="5">
        <v>1</v>
      </c>
      <c r="B9" s="1" t="s">
        <v>59</v>
      </c>
      <c r="C9" s="12">
        <v>887620</v>
      </c>
    </row>
    <row r="10" spans="1:3" ht="23.25">
      <c r="A10" s="5">
        <v>2</v>
      </c>
      <c r="B10" s="1" t="s">
        <v>104</v>
      </c>
      <c r="C10" s="12">
        <v>6503.96</v>
      </c>
    </row>
    <row r="11" spans="1:3" ht="23.25">
      <c r="A11" s="5">
        <v>3</v>
      </c>
      <c r="B11" s="1" t="s">
        <v>97</v>
      </c>
      <c r="C11" s="12">
        <v>2371.15</v>
      </c>
    </row>
    <row r="12" spans="1:3" ht="23.25">
      <c r="A12" s="5">
        <v>4</v>
      </c>
      <c r="B12" s="1" t="s">
        <v>98</v>
      </c>
      <c r="C12" s="12">
        <v>1756.26</v>
      </c>
    </row>
    <row r="13" spans="1:3" ht="23.25">
      <c r="A13" s="5">
        <v>5</v>
      </c>
      <c r="B13" s="1" t="s">
        <v>99</v>
      </c>
      <c r="C13" s="12">
        <v>2108.75</v>
      </c>
    </row>
    <row r="14" spans="1:3" ht="25.5">
      <c r="A14" s="5">
        <v>6</v>
      </c>
      <c r="B14" s="1" t="s">
        <v>60</v>
      </c>
      <c r="C14" s="59">
        <v>50235.56</v>
      </c>
    </row>
    <row r="15" spans="2:3" ht="25.5">
      <c r="B15" s="2" t="s">
        <v>100</v>
      </c>
      <c r="C15" s="60">
        <f>SUM(C9:C14)</f>
        <v>950595.6799999999</v>
      </c>
    </row>
    <row r="16" spans="2:3" ht="23.25">
      <c r="B16" s="2"/>
      <c r="C16" s="15"/>
    </row>
    <row r="17" spans="2:3" ht="23.25">
      <c r="B17" s="2"/>
      <c r="C17" s="15"/>
    </row>
    <row r="18" spans="2:3" ht="23.25">
      <c r="B18" s="2"/>
      <c r="C18" s="15"/>
    </row>
    <row r="19" spans="1:3" ht="23.25">
      <c r="A19" s="359" t="s">
        <v>367</v>
      </c>
      <c r="B19" s="359"/>
      <c r="C19" s="359"/>
    </row>
    <row r="20" spans="1:3" ht="23.25">
      <c r="A20" s="359" t="s">
        <v>560</v>
      </c>
      <c r="B20" s="359"/>
      <c r="C20" s="359"/>
    </row>
    <row r="21" spans="1:3" ht="23.25">
      <c r="A21" s="370" t="s">
        <v>561</v>
      </c>
      <c r="B21" s="370"/>
      <c r="C21" s="370"/>
    </row>
    <row r="22" spans="1:3" ht="23.25">
      <c r="A22" s="370" t="s">
        <v>562</v>
      </c>
      <c r="B22" s="370"/>
      <c r="C22" s="370"/>
    </row>
    <row r="23" spans="1:3" ht="23.25">
      <c r="A23" s="5"/>
      <c r="B23" s="5"/>
      <c r="C23" s="5"/>
    </row>
    <row r="24" spans="1:3" ht="23.25">
      <c r="A24" s="5"/>
      <c r="B24" s="5"/>
      <c r="C24" s="5"/>
    </row>
    <row r="25" spans="1:3" ht="23.25">
      <c r="A25" s="370" t="s">
        <v>470</v>
      </c>
      <c r="B25" s="370"/>
      <c r="C25" s="370"/>
    </row>
    <row r="26" spans="1:3" ht="23.25">
      <c r="A26" s="370" t="s">
        <v>336</v>
      </c>
      <c r="B26" s="370"/>
      <c r="C26" s="370"/>
    </row>
    <row r="27" spans="1:4" ht="23.25">
      <c r="A27" s="370" t="s">
        <v>563</v>
      </c>
      <c r="B27" s="370"/>
      <c r="C27" s="370"/>
      <c r="D27" s="12"/>
    </row>
    <row r="28" spans="1:4" ht="23.25">
      <c r="A28" s="199"/>
      <c r="B28" s="199"/>
      <c r="C28" s="251"/>
      <c r="D28" s="12"/>
    </row>
    <row r="29" spans="1:4" ht="23.25">
      <c r="A29" s="5"/>
      <c r="B29" s="5"/>
      <c r="C29" s="5"/>
      <c r="D29" s="12"/>
    </row>
    <row r="30" spans="1:3" ht="23.25">
      <c r="A30" s="370" t="s">
        <v>564</v>
      </c>
      <c r="B30" s="370"/>
      <c r="C30" s="370"/>
    </row>
    <row r="31" spans="1:3" ht="23.25">
      <c r="A31" s="370" t="s">
        <v>565</v>
      </c>
      <c r="B31" s="370"/>
      <c r="C31" s="370"/>
    </row>
    <row r="32" spans="1:3" ht="23.25">
      <c r="A32" s="370" t="s">
        <v>293</v>
      </c>
      <c r="B32" s="370"/>
      <c r="C32" s="370"/>
    </row>
  </sheetData>
  <mergeCells count="14">
    <mergeCell ref="A31:C31"/>
    <mergeCell ref="A32:C32"/>
    <mergeCell ref="A19:C19"/>
    <mergeCell ref="A22:C22"/>
    <mergeCell ref="A25:C25"/>
    <mergeCell ref="A30:C30"/>
    <mergeCell ref="A27:C27"/>
    <mergeCell ref="A20:C20"/>
    <mergeCell ref="A21:C21"/>
    <mergeCell ref="A26:C26"/>
    <mergeCell ref="A1:C1"/>
    <mergeCell ref="A2:C2"/>
    <mergeCell ref="A3:C3"/>
    <mergeCell ref="A4:C4"/>
  </mergeCells>
  <printOptions/>
  <pageMargins left="0.67" right="0.53" top="0.79" bottom="0.73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HomeUser</cp:lastModifiedBy>
  <cp:lastPrinted>2005-08-10T22:54:21Z</cp:lastPrinted>
  <dcterms:created xsi:type="dcterms:W3CDTF">2004-11-04T11:07:14Z</dcterms:created>
  <dcterms:modified xsi:type="dcterms:W3CDTF">2005-08-10T22:54:22Z</dcterms:modified>
  <cp:category/>
  <cp:version/>
  <cp:contentType/>
  <cp:contentStatus/>
</cp:coreProperties>
</file>