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370" windowHeight="1335" tabRatio="936" activeTab="1"/>
  </bookViews>
  <sheets>
    <sheet name="รายงานกระแสเงินสด" sheetId="1" r:id="rId1"/>
    <sheet name="รับ-จ่าย" sheetId="2" r:id="rId2"/>
  </sheets>
  <definedNames>
    <definedName name="_xlnm.Print_Area" localSheetId="1">'รับ-จ่าย'!$A$1:$F$81</definedName>
    <definedName name="_xlnm.Print_Area" localSheetId="0">'รายงานกระแสเงินสด'!$A$1:$E$45</definedName>
  </definedNames>
  <calcPr fullCalcOnLoad="1"/>
</workbook>
</file>

<file path=xl/sharedStrings.xml><?xml version="1.0" encoding="utf-8"?>
<sst xmlns="http://schemas.openxmlformats.org/spreadsheetml/2006/main" count="131" uniqueCount="104">
  <si>
    <t>องค์การบริหารส่วนตำบลบ้านใหม่</t>
  </si>
  <si>
    <t>จึงถึงปัจจุบัน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</si>
  <si>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</si>
  <si>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</si>
  <si>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</si>
  <si>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</si>
  <si>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</si>
  <si>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</si>
  <si>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</si>
  <si>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</si>
  <si>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</si>
  <si>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</si>
  <si>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</si>
  <si>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</si>
  <si>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</si>
  <si>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</si>
  <si>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รายงาน   รับ - จ่าย   เงินสด</t>
  </si>
  <si>
    <t>0100</t>
  </si>
  <si>
    <t>0200</t>
  </si>
  <si>
    <t>0250</t>
  </si>
  <si>
    <t>0300</t>
  </si>
  <si>
    <t>0350</t>
  </si>
  <si>
    <t>1000</t>
  </si>
  <si>
    <t>2000</t>
  </si>
  <si>
    <t>0120</t>
  </si>
  <si>
    <t>รายจ่าย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</si>
  <si>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</si>
  <si>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</si>
  <si>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</si>
  <si>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</si>
  <si>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</si>
  <si>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</si>
  <si>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</si>
  <si>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</si>
  <si>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</si>
  <si>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</si>
  <si>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ยอดยกไป</t>
  </si>
  <si>
    <t>200</t>
  </si>
  <si>
    <t>250</t>
  </si>
  <si>
    <t>270</t>
  </si>
  <si>
    <t>300</t>
  </si>
  <si>
    <t>400</t>
  </si>
  <si>
    <t>450</t>
  </si>
  <si>
    <t>500</t>
  </si>
  <si>
    <t>ลูกหนี้โครงการเศรษฐกิจชุมชน</t>
  </si>
  <si>
    <t>รวมเงิน</t>
  </si>
  <si>
    <t>รวมรายรับทั้งสิ้น</t>
  </si>
  <si>
    <t>ต่ำกว่า</t>
  </si>
  <si>
    <t>รวมรายจ่ายทั้งสิ้น</t>
  </si>
  <si>
    <t>รวม</t>
  </si>
  <si>
    <t>120</t>
  </si>
  <si>
    <t>รายรับ</t>
  </si>
  <si>
    <t>จ่ายขาดเงินสะสม</t>
  </si>
  <si>
    <t>รายจ่ายค้างจ่าย</t>
  </si>
  <si>
    <t>ค่าจ้างลูกจ้างชั่วคราว</t>
  </si>
  <si>
    <t>000</t>
  </si>
  <si>
    <t>เงินสะสม</t>
  </si>
  <si>
    <t>เงินทุนสำรองเงินสะสม</t>
  </si>
  <si>
    <t>ลูกหนี้-เงินยืมเงินสะสม</t>
  </si>
  <si>
    <t>ลูกหนี้ค่าภาษีบำรุงท้องที่</t>
  </si>
  <si>
    <t xml:space="preserve"> </t>
  </si>
  <si>
    <t>(นายไพโรจน์  พึ่งทหาร)</t>
  </si>
  <si>
    <t>รายจ่ายรวมเงินอุดหนุนเฉพาะกิจ</t>
  </si>
  <si>
    <t>รายรับรวมเงินอุดหนุนเฉพาะกิจ</t>
  </si>
  <si>
    <t>เงินอุดหนุนเฉพาะกิจ (เบี้ยยังชีพผู้สูงอายุ)</t>
  </si>
  <si>
    <t>เงินอุดหนุนเฉพาะกิจ (เบี้ยยังชีพผู้พิการ)</t>
  </si>
  <si>
    <t>รายจ่ายรอจ่าย</t>
  </si>
  <si>
    <t>(นางปริณดา  รุ่งเรือง)</t>
  </si>
  <si>
    <t>ผู้อำนวยการกองคลัง</t>
  </si>
  <si>
    <t xml:space="preserve">        ปีงบประมาณ  2555</t>
  </si>
  <si>
    <t>รวมเงินอุดหนุนเฉพาะกิจ</t>
  </si>
  <si>
    <t>เงินอุดหนุนทั่วไป</t>
  </si>
  <si>
    <t>ลูกหนี้-เงินยืมเงินงบประมาณ</t>
  </si>
  <si>
    <t>รวมจ่ายเงินอุดหนุนเฉพาะกิจ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</si>
  <si>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</si>
  <si>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</si>
  <si>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</si>
  <si>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</si>
  <si>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</si>
  <si>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</si>
  <si>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</si>
  <si>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</si>
  <si>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รับสูง หรือ (ต่ำ) กว่าจ่าย</t>
  </si>
  <si>
    <t>จ่ายเงินอุดหนุนเฉพาะกิจ</t>
  </si>
  <si>
    <t>……………………………….</t>
  </si>
  <si>
    <t>..................................................</t>
  </si>
  <si>
    <t>เงินอุดหนุนเฉพาะกิจ เงินเดือนครูศูนย์เด็ก</t>
  </si>
  <si>
    <t>ลูกหนี้เงินยืมเงินงบประมาณ</t>
  </si>
  <si>
    <t>ลูกหนี้เงินยืมเงินสะสม</t>
  </si>
  <si>
    <t>ลูกหนี้ค่าภาษีโรงเรือน</t>
  </si>
  <si>
    <r>
      <t xml:space="preserve">รายรับ </t>
    </r>
    <r>
      <rPr>
        <sz val="14"/>
        <rFont val="Angsana New"/>
        <family val="1"/>
      </rPr>
      <t xml:space="preserve">                         รายจ่าย</t>
    </r>
  </si>
  <si>
    <t>ประมาณการ (บาท)</t>
  </si>
  <si>
    <t>เกิดขึ้นจริง (บาท)</t>
  </si>
  <si>
    <r>
      <t xml:space="preserve">อำเภอ </t>
    </r>
    <r>
      <rPr>
        <sz val="14"/>
        <rFont val="Angsana New"/>
        <family val="1"/>
      </rPr>
      <t xml:space="preserve">  เมืองนครราชสีมา       </t>
    </r>
    <r>
      <rPr>
        <b/>
        <sz val="14"/>
        <rFont val="Angsana New"/>
        <family val="1"/>
      </rPr>
      <t xml:space="preserve"> จังหวัด</t>
    </r>
    <r>
      <rPr>
        <sz val="14"/>
        <rFont val="Angsana New"/>
        <family val="1"/>
      </rPr>
      <t xml:space="preserve">   นครราชสีมา</t>
    </r>
  </si>
  <si>
    <t>เงินอุดหนุนเฉพาะกิจ กรณีเร่งด่วน</t>
  </si>
  <si>
    <t>เงินรับฝาก (หมายเหตุ 2)</t>
  </si>
  <si>
    <t>(หมายเหตุ 1)</t>
  </si>
  <si>
    <t>เงินอุดหนุนทั่วไประบุวัตถุประสงค์- เงินเดือนครูศูนย์เด็ก</t>
  </si>
  <si>
    <t>นายกองค์การบริหารส่วนตำบล</t>
  </si>
  <si>
    <t>จ่ายขาดเงินทุนสำรองเงินสะสม</t>
  </si>
  <si>
    <t>รับเงินอุดหนุนทั่วไประบุวัตถุประสงค์</t>
  </si>
  <si>
    <t>เงินอุดหนุนเฉพาะกิจ(ถนนคสล.เลียบคลองลำปรุ ม.9)</t>
  </si>
  <si>
    <t>ณ วันที่   31  กรกฎาคม  2555</t>
  </si>
  <si>
    <t xml:space="preserve">                                                                    ประจำเดือน   กรกฎาคม   2555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</si>
</sst>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+_-* #,##0.00_-;\-* #,##0.00_-;_-* &quot;-&quot;??_-;_-@_-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#,##0.00_ ;\-#,##0.00\ "/>
    <numFmt numFmtId="192" formatCode="[$-41E]d\ mmmm\ yyyy"/>
    <numFmt numFmtId="193" formatCode="0.000"/>
    <numFmt numFmtId="194" formatCode="#,##0.000"/>
    <numFmt numFmtId="195" formatCode="#,##0.0"/>
    <numFmt numFmtId="196" formatCode="_(* #,##0.00_);_(* \(#,##0.00\);_(* &quot;-&quot;??_);_(@_)"/>
  </numFmts>
  <fonts count="35">
    <font>
      <sz val="14"/>
      <name val="Cordia New"/>
      <family val="0"/>
    </font>
    <font>
      <sz val="16"/>
      <name val="Angsana New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12"/>
      <name val="Angsana New"/>
      <family val="1"/>
    </font>
    <font>
      <b/>
      <u val="single"/>
      <sz val="14"/>
      <name val="Angsana New"/>
      <family val="1"/>
    </font>
    <font>
      <sz val="13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6"/>
      <color indexed="8"/>
      <name val="Angsana New"/>
      <family val="0"/>
    </font>
    <font>
      <sz val="14"/>
      <color indexed="8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7" borderId="1" applyNumberFormat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5" applyNumberFormat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16" xfId="38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7" xfId="38" applyFont="1" applyBorder="1" applyAlignment="1">
      <alignment/>
    </xf>
    <xf numFmtId="43" fontId="7" fillId="0" borderId="18" xfId="38" applyFont="1" applyBorder="1" applyAlignment="1">
      <alignment/>
    </xf>
    <xf numFmtId="43" fontId="7" fillId="0" borderId="19" xfId="38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15" xfId="38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43" fontId="9" fillId="0" borderId="18" xfId="38" applyFont="1" applyBorder="1" applyAlignment="1">
      <alignment/>
    </xf>
    <xf numFmtId="43" fontId="7" fillId="0" borderId="20" xfId="38" applyFont="1" applyBorder="1" applyAlignment="1">
      <alignment/>
    </xf>
    <xf numFmtId="43" fontId="10" fillId="0" borderId="0" xfId="0" applyNumberFormat="1" applyFont="1" applyAlignment="1">
      <alignment/>
    </xf>
    <xf numFmtId="43" fontId="7" fillId="0" borderId="0" xfId="38" applyFont="1" applyBorder="1" applyAlignment="1">
      <alignment/>
    </xf>
    <xf numFmtId="43" fontId="7" fillId="0" borderId="11" xfId="38" applyFont="1" applyBorder="1" applyAlignment="1">
      <alignment/>
    </xf>
    <xf numFmtId="43" fontId="6" fillId="0" borderId="19" xfId="38" applyFont="1" applyBorder="1" applyAlignment="1">
      <alignment/>
    </xf>
    <xf numFmtId="0" fontId="7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3" fontId="7" fillId="0" borderId="14" xfId="38" applyFont="1" applyBorder="1" applyAlignment="1">
      <alignment/>
    </xf>
    <xf numFmtId="0" fontId="8" fillId="0" borderId="12" xfId="0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3" fontId="7" fillId="0" borderId="0" xfId="38" applyFont="1" applyAlignment="1">
      <alignment/>
    </xf>
    <xf numFmtId="0" fontId="7" fillId="0" borderId="19" xfId="0" applyFont="1" applyBorder="1" applyAlignment="1">
      <alignment/>
    </xf>
    <xf numFmtId="43" fontId="7" fillId="0" borderId="0" xfId="0" applyNumberFormat="1" applyFont="1" applyAlignment="1">
      <alignment/>
    </xf>
    <xf numFmtId="43" fontId="9" fillId="0" borderId="15" xfId="38" applyFont="1" applyBorder="1" applyAlignment="1">
      <alignment/>
    </xf>
    <xf numFmtId="43" fontId="9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43" fontId="7" fillId="0" borderId="15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3" fontId="7" fillId="0" borderId="0" xfId="0" applyNumberFormat="1" applyFont="1" applyBorder="1" applyAlignment="1">
      <alignment/>
    </xf>
    <xf numFmtId="43" fontId="7" fillId="0" borderId="15" xfId="38" applyFont="1" applyBorder="1" applyAlignment="1">
      <alignment horizontal="center"/>
    </xf>
    <xf numFmtId="0" fontId="11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3" fontId="7" fillId="0" borderId="11" xfId="0" applyNumberFormat="1" applyFont="1" applyBorder="1" applyAlignment="1">
      <alignment/>
    </xf>
    <xf numFmtId="43" fontId="7" fillId="0" borderId="10" xfId="38" applyFont="1" applyBorder="1" applyAlignment="1">
      <alignment/>
    </xf>
    <xf numFmtId="43" fontId="1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/>
    </xf>
    <xf numFmtId="43" fontId="9" fillId="0" borderId="11" xfId="38" applyFont="1" applyBorder="1" applyAlignment="1">
      <alignment/>
    </xf>
    <xf numFmtId="43" fontId="10" fillId="0" borderId="0" xfId="38" applyFont="1" applyBorder="1" applyAlignment="1">
      <alignment/>
    </xf>
    <xf numFmtId="43" fontId="1" fillId="0" borderId="22" xfId="38" applyFont="1" applyBorder="1" applyAlignment="1">
      <alignment/>
    </xf>
    <xf numFmtId="43" fontId="7" fillId="0" borderId="11" xfId="38" applyNumberFormat="1" applyFont="1" applyBorder="1" applyAlignment="1">
      <alignment/>
    </xf>
    <xf numFmtId="43" fontId="0" fillId="0" borderId="0" xfId="38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38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3" fontId="0" fillId="0" borderId="0" xfId="38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43" fontId="0" fillId="0" borderId="0" xfId="38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43" fontId="13" fillId="0" borderId="23" xfId="38" applyFont="1" applyBorder="1" applyAlignment="1">
      <alignment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3" fillId="0" borderId="0" xfId="38" applyFont="1" applyAlignment="1">
      <alignment vertical="center"/>
    </xf>
    <xf numFmtId="0" fontId="14" fillId="0" borderId="0" xfId="0" applyFont="1" applyAlignment="1">
      <alignment horizontal="center" vertical="center"/>
    </xf>
    <xf numFmtId="43" fontId="13" fillId="0" borderId="23" xfId="38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4" fillId="0" borderId="0" xfId="0" applyFont="1" applyAlignment="1">
      <alignment horizontal="center"/>
    </xf>
    <xf numFmtId="43" fontId="13" fillId="0" borderId="24" xfId="38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36</xdr:row>
      <xdr:rowOff>0</xdr:rowOff>
    </xdr:from>
    <xdr:to>
      <xdr:col>4</xdr:col>
      <xdr:colOff>266700</xdr:colOff>
      <xdr:row>42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81200" y="8782050"/>
          <a:ext cx="31813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
                     ร้อยเอก……………………….........
                                  (สุพรชัย  เศวตมาลย์)        
                          ปลัดองค์การบริหารส่วนตำบล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76200</xdr:rowOff>
    </xdr:from>
    <xdr:to>
      <xdr:col>1</xdr:col>
      <xdr:colOff>1057275</xdr:colOff>
      <xdr:row>40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867900"/>
          <a:ext cx="2085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………………………….
(นางปริณดา  รุ่งเรือง)
  ผู้อำนวยการกองคลัง
</a:t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3</xdr:col>
      <xdr:colOff>1695450</xdr:colOff>
      <xdr:row>68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43150" y="1809750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(นายเลิศนุวัฒน์   วันสา)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68</xdr:row>
      <xdr:rowOff>0</xdr:rowOff>
    </xdr:from>
    <xdr:to>
      <xdr:col>5</xdr:col>
      <xdr:colOff>1104900</xdr:colOff>
      <xdr:row>68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24350" y="18097500"/>
          <a:ext cx="2495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(นางสุรัตน์   กรใหม่)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นายกองค์การบริหารส่วนตำบลบ้านใหม่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1990725</xdr:colOff>
      <xdr:row>37</xdr:row>
      <xdr:rowOff>66675</xdr:rowOff>
    </xdr:from>
    <xdr:to>
      <xdr:col>5</xdr:col>
      <xdr:colOff>1190625</xdr:colOff>
      <xdr:row>40</xdr:row>
      <xdr:rowOff>180975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29125" y="9858375"/>
          <a:ext cx="2476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……………………….........
(นายไพโรจน์   พึ่งทหาร)
นายกองค์การบริหารส่วนตำบล </a:t>
          </a:r>
        </a:p>
      </xdr:txBody>
    </xdr:sp>
    <xdr:clientData/>
  </xdr:twoCellAnchor>
  <xdr:twoCellAnchor>
    <xdr:from>
      <xdr:col>0</xdr:col>
      <xdr:colOff>123825</xdr:colOff>
      <xdr:row>76</xdr:row>
      <xdr:rowOff>114300</xdr:rowOff>
    </xdr:from>
    <xdr:to>
      <xdr:col>3</xdr:col>
      <xdr:colOff>104775</xdr:colOff>
      <xdr:row>79</xdr:row>
      <xdr:rowOff>133350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23825" y="20383500"/>
          <a:ext cx="2419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………………………….
(นางปริณดา  รุ่งเรือง)
 ผู้อำนวยการกองคลัง
</a:t>
          </a:r>
        </a:p>
      </xdr:txBody>
    </xdr:sp>
    <xdr:clientData/>
  </xdr:twoCellAnchor>
  <xdr:twoCellAnchor>
    <xdr:from>
      <xdr:col>3</xdr:col>
      <xdr:colOff>2057400</xdr:colOff>
      <xdr:row>76</xdr:row>
      <xdr:rowOff>95250</xdr:rowOff>
    </xdr:from>
    <xdr:to>
      <xdr:col>5</xdr:col>
      <xdr:colOff>1257300</xdr:colOff>
      <xdr:row>80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495800" y="20364450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……………………….........
(นายไพโรจน์   พึ่งทหาร)
นายกองค์การบริหารส่วนตำบล </a:t>
          </a:r>
        </a:p>
      </xdr:txBody>
    </xdr:sp>
    <xdr:clientData/>
  </xdr:twoCellAnchor>
  <xdr:twoCellAnchor>
    <xdr:from>
      <xdr:col>1</xdr:col>
      <xdr:colOff>809625</xdr:colOff>
      <xdr:row>35</xdr:row>
      <xdr:rowOff>152400</xdr:rowOff>
    </xdr:from>
    <xdr:to>
      <xdr:col>3</xdr:col>
      <xdr:colOff>2381250</xdr:colOff>
      <xdr:row>40</xdr:row>
      <xdr:rowOff>66675</xdr:rowOff>
    </xdr:to>
    <xdr:sp>
      <xdr:nvSpPr>
        <xdr:cNvPr id="7" name="Text Box 217"/>
        <xdr:cNvSpPr txBox="1">
          <a:spLocks noChangeArrowheads="1"/>
        </xdr:cNvSpPr>
      </xdr:nvSpPr>
      <xdr:spPr>
        <a:xfrm>
          <a:off x="1847850" y="9582150"/>
          <a:ext cx="29718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      ปลัดองค์การบริหารส่วนตำบล
</a:t>
          </a:r>
        </a:p>
      </xdr:txBody>
    </xdr:sp>
    <xdr:clientData/>
  </xdr:twoCellAnchor>
  <xdr:twoCellAnchor>
    <xdr:from>
      <xdr:col>1</xdr:col>
      <xdr:colOff>781050</xdr:colOff>
      <xdr:row>75</xdr:row>
      <xdr:rowOff>142875</xdr:rowOff>
    </xdr:from>
    <xdr:to>
      <xdr:col>3</xdr:col>
      <xdr:colOff>2352675</xdr:colOff>
      <xdr:row>79</xdr:row>
      <xdr:rowOff>152400</xdr:rowOff>
    </xdr:to>
    <xdr:sp>
      <xdr:nvSpPr>
        <xdr:cNvPr id="8" name="Text Box 217"/>
        <xdr:cNvSpPr txBox="1">
          <a:spLocks noChangeArrowheads="1"/>
        </xdr:cNvSpPr>
      </xdr:nvSpPr>
      <xdr:spPr>
        <a:xfrm>
          <a:off x="1819275" y="20145375"/>
          <a:ext cx="29718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      ปลัดองค์การบริหารส่วนตำบล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45"/>
  <sheetViews>
    <sheetView zoomScalePageLayoutView="0" workbookViewId="0" topLeftCell="A16">
      <selection activeCell="A44" sqref="A44:F44"/>
    </sheetView>
  </sheetViews>
  <sheetFormatPr defaultColWidth="9.140625" defaultRowHeight="21.75"/>
  <cols>
    <col min="1" max="1" width="7.8515625" style="54" customWidth="1"/>
    <col min="2" max="2" width="37.7109375" style="54" customWidth="1"/>
    <col min="3" max="3" width="20.8515625" style="54" customWidth="1"/>
    <col min="4" max="4" width="7.00390625" style="54" customWidth="1"/>
    <col min="5" max="5" width="18.140625" style="54" customWidth="1"/>
    <col min="6" max="6" width="13.57421875" style="53" bestFit="1" customWidth="1"/>
    <col min="7" max="7" width="19.8515625" style="54" customWidth="1"/>
    <col min="8" max="16384" width="9.140625" style="54" customWidth="1"/>
  </cols>
  <sheetData>
    <row r="1" spans="1:5" ht="21.75">
      <c r="A1" s="79" t="s">
        <v>0</v>
      </c>
      <c r="B1" s="79"/>
      <c r="C1" s="79"/>
      <c r="D1" s="79"/>
      <c r="E1" s="79"/>
    </row>
    <row r="2" spans="1:5" ht="20.25" customHeight="1">
      <c r="A2" s="79" t="s">
        <v>74</v>
      </c>
      <c r="B2" s="79"/>
      <c r="C2" s="79"/>
      <c r="D2" s="79"/>
      <c r="E2" s="79"/>
    </row>
    <row r="3" spans="1:5" ht="21.75">
      <c r="A3" s="79" t="s">
        <v>102</v>
      </c>
      <c r="B3" s="79"/>
      <c r="C3" s="79"/>
      <c r="D3" s="79"/>
      <c r="E3" s="79"/>
    </row>
    <row r="4" spans="1:6" s="55" customFormat="1" ht="21" customHeight="1">
      <c r="A4" s="63" t="s">
        <v>51</v>
      </c>
      <c r="B4" s="64"/>
      <c r="C4" s="76" t="s">
        <v>5</v>
      </c>
      <c r="D4" s="76"/>
      <c r="E4" s="76" t="s">
        <v>75</v>
      </c>
      <c r="F4" s="56"/>
    </row>
    <row r="5" spans="1:7" s="55" customFormat="1" ht="19.5" customHeight="1">
      <c r="A5" s="64"/>
      <c r="B5" s="64" t="s">
        <v>76</v>
      </c>
      <c r="C5" s="65">
        <v>7026421.8</v>
      </c>
      <c r="D5" s="65"/>
      <c r="E5" s="65">
        <f>2103297.27+1687955.21+2047344.2+3777810.01+1698657.11+4084905.59+2743663.7+1733485.01+1452095.25+7026421.8</f>
        <v>28355635.150000002</v>
      </c>
      <c r="F5" s="56"/>
      <c r="G5" s="56"/>
    </row>
    <row r="6" spans="1:7" s="55" customFormat="1" ht="19.5" customHeight="1">
      <c r="A6" s="64"/>
      <c r="B6" s="64" t="s">
        <v>79</v>
      </c>
      <c r="C6" s="65">
        <v>0</v>
      </c>
      <c r="D6" s="65"/>
      <c r="E6" s="65">
        <v>24907010</v>
      </c>
      <c r="F6" s="56"/>
      <c r="G6" s="56"/>
    </row>
    <row r="7" spans="1:7" s="55" customFormat="1" ht="21" customHeight="1">
      <c r="A7" s="64"/>
      <c r="B7" s="64" t="s">
        <v>100</v>
      </c>
      <c r="C7" s="65"/>
      <c r="D7" s="65"/>
      <c r="E7" s="65">
        <f>103110+305966</f>
        <v>409076</v>
      </c>
      <c r="F7" s="56"/>
      <c r="G7" s="56"/>
    </row>
    <row r="8" spans="1:7" s="55" customFormat="1" ht="19.5" customHeight="1">
      <c r="A8" s="64"/>
      <c r="B8" s="64" t="s">
        <v>78</v>
      </c>
      <c r="C8" s="65">
        <v>0</v>
      </c>
      <c r="D8" s="65"/>
      <c r="E8" s="65">
        <f>16943600+998000</f>
        <v>17941600</v>
      </c>
      <c r="F8" s="56"/>
      <c r="G8" s="57"/>
    </row>
    <row r="9" spans="1:7" s="55" customFormat="1" ht="19.5" customHeight="1">
      <c r="A9" s="64"/>
      <c r="B9" s="64" t="s">
        <v>77</v>
      </c>
      <c r="C9" s="65">
        <v>69772.74</v>
      </c>
      <c r="D9" s="65"/>
      <c r="E9" s="65">
        <f>647532.52+2428992.17+10483.27+40327.43+20065.79+88092.78+172.6+57237.69+18499.61+70077.16+69772.74</f>
        <v>3451253.7600000002</v>
      </c>
      <c r="F9" s="56"/>
      <c r="G9" s="57"/>
    </row>
    <row r="10" spans="1:6" s="55" customFormat="1" ht="19.5" customHeight="1">
      <c r="A10" s="64"/>
      <c r="B10" s="64" t="s">
        <v>56</v>
      </c>
      <c r="C10" s="65">
        <v>47718</v>
      </c>
      <c r="D10" s="65"/>
      <c r="E10" s="65">
        <f>94059.06+4935+47718</f>
        <v>146712.06</v>
      </c>
      <c r="F10" s="56"/>
    </row>
    <row r="11" spans="1:6" s="55" customFormat="1" ht="19.5" customHeight="1">
      <c r="A11" s="64"/>
      <c r="B11" s="64" t="s">
        <v>57</v>
      </c>
      <c r="C11" s="65">
        <v>7418</v>
      </c>
      <c r="D11" s="65"/>
      <c r="E11" s="65">
        <f>7030+7418</f>
        <v>14448</v>
      </c>
      <c r="F11" s="56"/>
    </row>
    <row r="12" spans="1:6" s="55" customFormat="1" ht="21" customHeight="1">
      <c r="A12" s="64"/>
      <c r="B12" s="64" t="s">
        <v>44</v>
      </c>
      <c r="C12" s="65">
        <v>0</v>
      </c>
      <c r="D12" s="65"/>
      <c r="E12" s="65">
        <f>10000+15000</f>
        <v>25000</v>
      </c>
      <c r="F12" s="56"/>
    </row>
    <row r="13" spans="1:6" s="55" customFormat="1" ht="21" customHeight="1">
      <c r="A13" s="64"/>
      <c r="B13" s="64" t="s">
        <v>89</v>
      </c>
      <c r="C13" s="65">
        <v>0</v>
      </c>
      <c r="D13" s="65"/>
      <c r="E13" s="65">
        <v>6750</v>
      </c>
      <c r="F13" s="56"/>
    </row>
    <row r="14" spans="1:6" s="55" customFormat="1" ht="21" customHeight="1">
      <c r="A14" s="64"/>
      <c r="B14" s="64" t="s">
        <v>59</v>
      </c>
      <c r="C14" s="65">
        <v>208.25</v>
      </c>
      <c r="D14" s="65"/>
      <c r="E14" s="65">
        <f>182.97+585.91+208.25</f>
        <v>977.13</v>
      </c>
      <c r="F14" s="56"/>
    </row>
    <row r="15" spans="1:6" s="55" customFormat="1" ht="21" customHeight="1">
      <c r="A15" s="64"/>
      <c r="B15" s="64" t="s">
        <v>87</v>
      </c>
      <c r="C15" s="65">
        <f>12100+3000+32300+73400+1500+1020+65090</f>
        <v>188410</v>
      </c>
      <c r="D15" s="65"/>
      <c r="E15" s="65">
        <f>1125630+100650+125800+188410</f>
        <v>1540490</v>
      </c>
      <c r="F15" s="56"/>
    </row>
    <row r="16" spans="1:6" s="55" customFormat="1" ht="21" customHeight="1">
      <c r="A16" s="64"/>
      <c r="B16" s="64" t="s">
        <v>88</v>
      </c>
      <c r="C16" s="65">
        <f>412.9+800</f>
        <v>1212.9</v>
      </c>
      <c r="D16" s="65"/>
      <c r="E16" s="65">
        <f>6611463+1212.9</f>
        <v>6612675.9</v>
      </c>
      <c r="F16" s="56"/>
    </row>
    <row r="17" spans="1:7" s="55" customFormat="1" ht="18" customHeight="1" thickBot="1">
      <c r="A17" s="64"/>
      <c r="B17" s="63" t="s">
        <v>49</v>
      </c>
      <c r="C17" s="66">
        <f>SUM(C5:C16)</f>
        <v>7341161.69</v>
      </c>
      <c r="D17" s="65"/>
      <c r="E17" s="66">
        <f>SUM(E5:E16)</f>
        <v>83411628.00000001</v>
      </c>
      <c r="F17" s="56"/>
      <c r="G17" s="57"/>
    </row>
    <row r="18" spans="1:7" s="58" customFormat="1" ht="18" customHeight="1" thickTop="1">
      <c r="A18" s="67" t="s">
        <v>25</v>
      </c>
      <c r="B18" s="68"/>
      <c r="C18" s="69"/>
      <c r="D18" s="69"/>
      <c r="E18" s="69"/>
      <c r="F18" s="59"/>
      <c r="G18" s="60"/>
    </row>
    <row r="19" spans="1:6" s="58" customFormat="1" ht="18" customHeight="1">
      <c r="A19" s="68"/>
      <c r="B19" s="68" t="s">
        <v>80</v>
      </c>
      <c r="C19" s="69">
        <v>3455187.83</v>
      </c>
      <c r="D19" s="69"/>
      <c r="E19" s="69">
        <f>1196326.11+2085756.85+1688381.09+1542712.39+2256355.41+1870922.89+2087880.66+5449872.68+2678621.03+3455187.83</f>
        <v>24312016.939999998</v>
      </c>
      <c r="F19" s="59"/>
    </row>
    <row r="20" spans="1:7" s="58" customFormat="1" ht="18" customHeight="1">
      <c r="A20" s="68"/>
      <c r="B20" s="68" t="s">
        <v>83</v>
      </c>
      <c r="C20" s="69">
        <v>1317177</v>
      </c>
      <c r="D20" s="69"/>
      <c r="E20" s="69">
        <f>246000+2776500+410800+1343100+4161810-7800+1294200+2288900+1286500+1317177</f>
        <v>15117187</v>
      </c>
      <c r="F20" s="59"/>
      <c r="G20" s="60"/>
    </row>
    <row r="21" spans="1:6" s="58" customFormat="1" ht="18" customHeight="1">
      <c r="A21" s="68"/>
      <c r="B21" s="68" t="s">
        <v>81</v>
      </c>
      <c r="C21" s="69">
        <v>11180.08</v>
      </c>
      <c r="D21" s="69"/>
      <c r="E21" s="69">
        <f>3220899.34+90994.71+23790.19+11180.08</f>
        <v>3346864.32</v>
      </c>
      <c r="F21" s="59"/>
    </row>
    <row r="22" spans="1:6" s="58" customFormat="1" ht="21" customHeight="1">
      <c r="A22" s="68"/>
      <c r="B22" s="68" t="s">
        <v>87</v>
      </c>
      <c r="C22" s="69">
        <v>66590</v>
      </c>
      <c r="D22" s="69"/>
      <c r="E22" s="69">
        <f>1224380+57000+192520+66590</f>
        <v>1540490</v>
      </c>
      <c r="F22" s="59"/>
    </row>
    <row r="23" spans="1:6" s="58" customFormat="1" ht="21" customHeight="1">
      <c r="A23" s="68"/>
      <c r="B23" s="68" t="s">
        <v>88</v>
      </c>
      <c r="C23" s="69"/>
      <c r="D23" s="69"/>
      <c r="E23" s="69">
        <f>6747229.9+33777+33777</f>
        <v>6814783.9</v>
      </c>
      <c r="F23" s="59"/>
    </row>
    <row r="24" spans="1:6" s="58" customFormat="1" ht="18" customHeight="1">
      <c r="A24" s="68"/>
      <c r="B24" s="68" t="s">
        <v>66</v>
      </c>
      <c r="C24" s="69">
        <v>6234</v>
      </c>
      <c r="D24" s="69"/>
      <c r="E24" s="69">
        <f>1635021.41+6234</f>
        <v>1641255.41</v>
      </c>
      <c r="F24" s="59"/>
    </row>
    <row r="25" spans="1:6" s="58" customFormat="1" ht="18" customHeight="1">
      <c r="A25" s="68"/>
      <c r="B25" s="68" t="s">
        <v>53</v>
      </c>
      <c r="C25" s="69">
        <v>0</v>
      </c>
      <c r="D25" s="69"/>
      <c r="E25" s="69">
        <v>2712666.11</v>
      </c>
      <c r="F25" s="59"/>
    </row>
    <row r="26" spans="1:6" s="58" customFormat="1" ht="18" customHeight="1">
      <c r="A26" s="68"/>
      <c r="B26" s="68" t="s">
        <v>52</v>
      </c>
      <c r="C26" s="69">
        <v>1165000</v>
      </c>
      <c r="D26" s="69"/>
      <c r="E26" s="69">
        <f>8380347+235000+1165000</f>
        <v>9780347</v>
      </c>
      <c r="F26" s="59"/>
    </row>
    <row r="27" spans="1:6" s="58" customFormat="1" ht="18" customHeight="1">
      <c r="A27" s="68"/>
      <c r="B27" s="68" t="s">
        <v>99</v>
      </c>
      <c r="C27" s="69">
        <v>234000</v>
      </c>
      <c r="D27" s="69"/>
      <c r="E27" s="69">
        <f>100000+465500+234000</f>
        <v>799500</v>
      </c>
      <c r="F27" s="59"/>
    </row>
    <row r="28" spans="1:6" s="58" customFormat="1" ht="18" customHeight="1" thickBot="1">
      <c r="A28" s="68"/>
      <c r="B28" s="70" t="s">
        <v>49</v>
      </c>
      <c r="C28" s="71">
        <f>SUM(C19:C27)</f>
        <v>6255368.91</v>
      </c>
      <c r="D28" s="69"/>
      <c r="E28" s="71">
        <f>SUM(E19:E27)</f>
        <v>66065110.67999999</v>
      </c>
      <c r="F28" s="59"/>
    </row>
    <row r="29" spans="1:5" ht="7.5" customHeight="1" thickTop="1">
      <c r="A29" s="72"/>
      <c r="B29" s="73"/>
      <c r="C29" s="74"/>
      <c r="D29" s="75"/>
      <c r="E29" s="74"/>
    </row>
    <row r="30" spans="1:5" ht="18" customHeight="1" thickBot="1">
      <c r="A30" s="72"/>
      <c r="B30" s="76" t="s">
        <v>82</v>
      </c>
      <c r="C30" s="77">
        <f>C17-C28</f>
        <v>1085792.7800000003</v>
      </c>
      <c r="D30" s="75"/>
      <c r="E30" s="77">
        <f>E17-E28</f>
        <v>17346517.320000023</v>
      </c>
    </row>
    <row r="31" spans="1:5" ht="18" customHeight="1" thickTop="1">
      <c r="A31" s="72"/>
      <c r="B31" s="76"/>
      <c r="C31" s="74"/>
      <c r="D31" s="75"/>
      <c r="E31" s="74"/>
    </row>
    <row r="32" spans="2:5" ht="18" customHeight="1">
      <c r="B32" s="61"/>
      <c r="C32" s="62"/>
      <c r="D32" s="53"/>
      <c r="E32" s="62"/>
    </row>
    <row r="33" spans="1:6" ht="21.75">
      <c r="A33" s="78" t="s">
        <v>84</v>
      </c>
      <c r="B33" s="78"/>
      <c r="C33" s="78"/>
      <c r="D33" s="78"/>
      <c r="E33" s="78"/>
      <c r="F33" s="78"/>
    </row>
    <row r="34" spans="1:6" ht="21.75">
      <c r="A34" s="78" t="s">
        <v>67</v>
      </c>
      <c r="B34" s="78"/>
      <c r="C34" s="78"/>
      <c r="D34" s="78"/>
      <c r="E34" s="78"/>
      <c r="F34" s="78"/>
    </row>
    <row r="35" spans="1:6" ht="21.75">
      <c r="A35" s="78" t="s">
        <v>68</v>
      </c>
      <c r="B35" s="78"/>
      <c r="C35" s="78"/>
      <c r="D35" s="78"/>
      <c r="E35" s="78"/>
      <c r="F35" s="78"/>
    </row>
    <row r="36" spans="1:6" ht="15" customHeight="1">
      <c r="A36" s="61"/>
      <c r="B36" s="61"/>
      <c r="C36" s="61"/>
      <c r="D36" s="61"/>
      <c r="E36" s="61"/>
      <c r="F36" s="61"/>
    </row>
    <row r="37" spans="1:6" ht="21.75">
      <c r="A37" s="78"/>
      <c r="B37" s="78"/>
      <c r="C37" s="78"/>
      <c r="D37" s="78"/>
      <c r="E37" s="78"/>
      <c r="F37" s="78"/>
    </row>
    <row r="38" spans="1:6" ht="21.75">
      <c r="A38" s="78"/>
      <c r="B38" s="78"/>
      <c r="C38" s="78"/>
      <c r="D38" s="78"/>
      <c r="E38" s="78"/>
      <c r="F38" s="78"/>
    </row>
    <row r="39" spans="1:6" ht="21.75">
      <c r="A39" s="78"/>
      <c r="B39" s="78"/>
      <c r="C39" s="78"/>
      <c r="D39" s="78"/>
      <c r="E39" s="78"/>
      <c r="F39" s="78"/>
    </row>
    <row r="40" ht="15.75" customHeight="1"/>
    <row r="41" ht="15.75" customHeight="1"/>
    <row r="42" ht="15.75" customHeight="1"/>
    <row r="43" spans="1:6" ht="21.75">
      <c r="A43" s="78" t="s">
        <v>85</v>
      </c>
      <c r="B43" s="78"/>
      <c r="C43" s="78"/>
      <c r="D43" s="78"/>
      <c r="E43" s="78"/>
      <c r="F43" s="78"/>
    </row>
    <row r="44" spans="1:6" ht="21.75">
      <c r="A44" s="78" t="s">
        <v>61</v>
      </c>
      <c r="B44" s="78"/>
      <c r="C44" s="78"/>
      <c r="D44" s="78"/>
      <c r="E44" s="78"/>
      <c r="F44" s="78"/>
    </row>
    <row r="45" spans="1:6" ht="21.75">
      <c r="A45" s="78" t="s">
        <v>98</v>
      </c>
      <c r="B45" s="78"/>
      <c r="C45" s="78"/>
      <c r="D45" s="78"/>
      <c r="E45" s="78"/>
      <c r="F45" s="78"/>
    </row>
  </sheetData>
  <sheetProtection/>
  <mergeCells count="12">
    <mergeCell ref="A1:E1"/>
    <mergeCell ref="A2:E2"/>
    <mergeCell ref="A3:E3"/>
    <mergeCell ref="A33:F33"/>
    <mergeCell ref="A45:F45"/>
    <mergeCell ref="A39:F39"/>
    <mergeCell ref="A43:F43"/>
    <mergeCell ref="A44:F44"/>
    <mergeCell ref="A34:F34"/>
    <mergeCell ref="A35:F35"/>
    <mergeCell ref="A37:F37"/>
    <mergeCell ref="A38:F38"/>
  </mergeCells>
  <printOptions/>
  <pageMargins left="0.95" right="0" top="0.1968503937007874" bottom="0" header="0.5118110236220472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00"/>
  <sheetViews>
    <sheetView tabSelected="1" zoomScalePageLayoutView="0" workbookViewId="0" topLeftCell="A1">
      <selection activeCell="H77" sqref="H77"/>
    </sheetView>
  </sheetViews>
  <sheetFormatPr defaultColWidth="9.140625" defaultRowHeight="21.75"/>
  <cols>
    <col min="1" max="1" width="15.57421875" style="4" customWidth="1"/>
    <col min="2" max="2" width="15.8515625" style="4" customWidth="1"/>
    <col min="3" max="3" width="5.140625" style="4" customWidth="1"/>
    <col min="4" max="4" width="41.8515625" style="4" customWidth="1"/>
    <col min="5" max="5" width="7.28125" style="4" customWidth="1"/>
    <col min="6" max="6" width="19.8515625" style="4" customWidth="1"/>
    <col min="7" max="7" width="5.421875" style="4" customWidth="1"/>
    <col min="8" max="8" width="16.8515625" style="4" customWidth="1"/>
    <col min="9" max="9" width="12.421875" style="4" customWidth="1"/>
    <col min="10" max="10" width="12.57421875" style="4" customWidth="1"/>
    <col min="11" max="11" width="12.421875" style="4" customWidth="1"/>
    <col min="12" max="16384" width="9.140625" style="4" customWidth="1"/>
  </cols>
  <sheetData>
    <row r="1" ht="21">
      <c r="A1" s="3" t="s">
        <v>0</v>
      </c>
    </row>
    <row r="2" ht="21">
      <c r="A2" s="3" t="s">
        <v>93</v>
      </c>
    </row>
    <row r="3" spans="4:5" ht="21">
      <c r="D3" s="47" t="s">
        <v>16</v>
      </c>
      <c r="E3" s="4" t="s">
        <v>69</v>
      </c>
    </row>
    <row r="4" ht="21">
      <c r="D4" s="4" t="s">
        <v>103</v>
      </c>
    </row>
    <row r="5" spans="1:6" ht="21">
      <c r="A5" s="82" t="s">
        <v>1</v>
      </c>
      <c r="B5" s="82"/>
      <c r="C5" s="6"/>
      <c r="D5" s="7"/>
      <c r="E5" s="8" t="s">
        <v>3</v>
      </c>
      <c r="F5" s="5" t="s">
        <v>5</v>
      </c>
    </row>
    <row r="6" spans="1:6" s="10" customFormat="1" ht="21">
      <c r="A6" s="8" t="s">
        <v>91</v>
      </c>
      <c r="B6" s="8" t="s">
        <v>92</v>
      </c>
      <c r="C6" s="83" t="s">
        <v>2</v>
      </c>
      <c r="D6" s="84"/>
      <c r="E6" s="9" t="s">
        <v>4</v>
      </c>
      <c r="F6" s="8" t="s">
        <v>92</v>
      </c>
    </row>
    <row r="7" spans="1:6" ht="21.75" thickBot="1">
      <c r="A7" s="11"/>
      <c r="B7" s="13">
        <v>56126176.27</v>
      </c>
      <c r="C7" s="16" t="s">
        <v>6</v>
      </c>
      <c r="E7" s="12"/>
      <c r="F7" s="13">
        <v>72386900.81</v>
      </c>
    </row>
    <row r="8" spans="1:6" ht="21.75" thickTop="1">
      <c r="A8" s="14"/>
      <c r="B8" s="15"/>
      <c r="C8" s="48" t="s">
        <v>51</v>
      </c>
      <c r="D8" s="28" t="s">
        <v>96</v>
      </c>
      <c r="E8" s="16"/>
      <c r="F8" s="17"/>
    </row>
    <row r="9" spans="1:6" ht="21">
      <c r="A9" s="14">
        <v>1208000</v>
      </c>
      <c r="B9" s="14">
        <f>693.45+39741.14+500612.6+171224.54+85437.32+331830.13+162120.35+12761.07</f>
        <v>1304420.6000000003</v>
      </c>
      <c r="C9" s="48"/>
      <c r="D9" s="18" t="s">
        <v>7</v>
      </c>
      <c r="E9" s="19" t="s">
        <v>17</v>
      </c>
      <c r="F9" s="17">
        <f>12150+611.07</f>
        <v>12761.07</v>
      </c>
    </row>
    <row r="10" spans="1:6" ht="21">
      <c r="A10" s="14">
        <v>923400</v>
      </c>
      <c r="B10" s="14">
        <f>63866.3+124683+69758.6+82303.4+96817+89632.3+105258.3+108251.1+83710.3+98084.5</f>
        <v>922364.8</v>
      </c>
      <c r="C10" s="15"/>
      <c r="D10" s="18" t="s">
        <v>8</v>
      </c>
      <c r="E10" s="19" t="s">
        <v>24</v>
      </c>
      <c r="F10" s="17">
        <v>98084.5</v>
      </c>
    </row>
    <row r="11" spans="1:6" ht="21">
      <c r="A11" s="14">
        <v>185000</v>
      </c>
      <c r="B11" s="14">
        <f>266961.78+283362.4</f>
        <v>550324.18</v>
      </c>
      <c r="C11" s="15"/>
      <c r="D11" s="18" t="s">
        <v>9</v>
      </c>
      <c r="E11" s="19" t="s">
        <v>18</v>
      </c>
      <c r="F11" s="17">
        <v>283362.4</v>
      </c>
    </row>
    <row r="12" spans="1:6" ht="21">
      <c r="A12" s="14">
        <v>0</v>
      </c>
      <c r="B12" s="14">
        <v>0</v>
      </c>
      <c r="C12" s="15"/>
      <c r="D12" s="18" t="s">
        <v>10</v>
      </c>
      <c r="E12" s="19" t="s">
        <v>19</v>
      </c>
      <c r="F12" s="17"/>
    </row>
    <row r="13" spans="1:6" ht="21">
      <c r="A13" s="14">
        <v>141000</v>
      </c>
      <c r="B13" s="14">
        <f>42910+71100+20+440+36920+20+25400+184.45+274000</f>
        <v>450994.45</v>
      </c>
      <c r="C13" s="15"/>
      <c r="D13" s="18" t="s">
        <v>11</v>
      </c>
      <c r="E13" s="19" t="s">
        <v>20</v>
      </c>
      <c r="F13" s="17">
        <v>274000</v>
      </c>
    </row>
    <row r="14" spans="1:6" ht="21">
      <c r="A14" s="14">
        <v>0</v>
      </c>
      <c r="B14" s="14">
        <v>0</v>
      </c>
      <c r="C14" s="15"/>
      <c r="D14" s="18" t="s">
        <v>12</v>
      </c>
      <c r="E14" s="19" t="s">
        <v>21</v>
      </c>
      <c r="F14" s="17"/>
    </row>
    <row r="15" spans="1:6" ht="21">
      <c r="A15" s="20">
        <v>24545000</v>
      </c>
      <c r="B15" s="14">
        <f>1996520.97+1491478.76+1977585.6+3388783.69+1100787.51+3787128.75+2552948.08+1268003.78+1206080.15+6358213.83</f>
        <v>25127531.119999997</v>
      </c>
      <c r="C15" s="15"/>
      <c r="D15" s="18" t="s">
        <v>13</v>
      </c>
      <c r="E15" s="19" t="s">
        <v>22</v>
      </c>
      <c r="F15" s="17">
        <v>6358213.83</v>
      </c>
    </row>
    <row r="16" spans="1:6" ht="21">
      <c r="A16" s="14">
        <v>12000000</v>
      </c>
      <c r="B16" s="14">
        <f>2303525+1121800+21481685</f>
        <v>24907010</v>
      </c>
      <c r="C16" s="15"/>
      <c r="D16" s="18" t="s">
        <v>71</v>
      </c>
      <c r="E16" s="19" t="s">
        <v>23</v>
      </c>
      <c r="F16" s="17"/>
    </row>
    <row r="17" spans="1:8" ht="21.75" thickBot="1">
      <c r="A17" s="21">
        <f>SUM(A9:A16)</f>
        <v>39002400</v>
      </c>
      <c r="B17" s="21">
        <f>SUM(B9:B16)</f>
        <v>53262645.15</v>
      </c>
      <c r="C17" s="15"/>
      <c r="D17" s="1" t="s">
        <v>15</v>
      </c>
      <c r="E17" s="16"/>
      <c r="F17" s="13">
        <f>SUM(F9:F16)</f>
        <v>7026421.8</v>
      </c>
      <c r="H17" s="22"/>
    </row>
    <row r="18" spans="1:8" ht="21.75" thickTop="1">
      <c r="A18" s="23"/>
      <c r="B18" s="14">
        <f>103110+305966</f>
        <v>409076</v>
      </c>
      <c r="C18" s="15"/>
      <c r="D18" s="18" t="s">
        <v>97</v>
      </c>
      <c r="E18" s="16"/>
      <c r="F18" s="17"/>
      <c r="H18" s="22"/>
    </row>
    <row r="19" spans="1:8" ht="21">
      <c r="A19" s="23"/>
      <c r="B19" s="24">
        <f>SUM(B18)</f>
        <v>409076</v>
      </c>
      <c r="C19" s="15"/>
      <c r="D19" s="1" t="s">
        <v>49</v>
      </c>
      <c r="E19" s="16"/>
      <c r="F19" s="24">
        <f>F18</f>
        <v>0</v>
      </c>
      <c r="H19" s="22"/>
    </row>
    <row r="20" spans="1:8" ht="21">
      <c r="A20" s="23"/>
      <c r="B20" s="14">
        <f>3124800+1205800+10139000</f>
        <v>14469600</v>
      </c>
      <c r="C20" s="15"/>
      <c r="D20" s="18" t="s">
        <v>64</v>
      </c>
      <c r="E20" s="16"/>
      <c r="F20" s="17">
        <v>0</v>
      </c>
      <c r="H20" s="22"/>
    </row>
    <row r="21" spans="1:8" ht="21">
      <c r="A21" s="23"/>
      <c r="B21" s="14">
        <f>334500+157500+984000</f>
        <v>1476000</v>
      </c>
      <c r="C21" s="15"/>
      <c r="D21" s="18" t="s">
        <v>65</v>
      </c>
      <c r="E21" s="16"/>
      <c r="F21" s="17">
        <v>0</v>
      </c>
      <c r="H21" s="22"/>
    </row>
    <row r="22" spans="1:8" ht="21">
      <c r="A22" s="23"/>
      <c r="B22" s="14">
        <v>998000</v>
      </c>
      <c r="C22" s="15"/>
      <c r="D22" s="18" t="s">
        <v>94</v>
      </c>
      <c r="E22" s="16"/>
      <c r="F22" s="17">
        <v>0</v>
      </c>
      <c r="H22" s="22"/>
    </row>
    <row r="23" spans="1:8" ht="21">
      <c r="A23" s="23"/>
      <c r="B23" s="15">
        <v>998000</v>
      </c>
      <c r="C23" s="15"/>
      <c r="D23" s="18" t="s">
        <v>101</v>
      </c>
      <c r="E23" s="16"/>
      <c r="F23" s="17">
        <v>0</v>
      </c>
      <c r="H23" s="22"/>
    </row>
    <row r="24" spans="1:8" ht="21">
      <c r="A24" s="23"/>
      <c r="B24" s="24">
        <f>SUM(B20:B23)</f>
        <v>17941600</v>
      </c>
      <c r="C24" s="15"/>
      <c r="D24" s="1" t="s">
        <v>70</v>
      </c>
      <c r="E24" s="16"/>
      <c r="F24" s="52">
        <f>SUM(F20:F23)</f>
        <v>0</v>
      </c>
      <c r="H24" s="22"/>
    </row>
    <row r="25" spans="1:8" ht="21.75" thickBot="1">
      <c r="A25" s="23"/>
      <c r="B25" s="13">
        <f>B17+B24+B19</f>
        <v>71613321.15</v>
      </c>
      <c r="C25" s="25" t="s">
        <v>63</v>
      </c>
      <c r="D25" s="18"/>
      <c r="E25" s="16"/>
      <c r="F25" s="13">
        <f>F17+F24+F19</f>
        <v>7026421.8</v>
      </c>
      <c r="H25" s="22"/>
    </row>
    <row r="26" spans="1:6" ht="24" thickTop="1">
      <c r="A26" s="23"/>
      <c r="B26" s="14">
        <f>647532.52+2428992.17+10483.27+40327.43+20065.79+172.6+88092.78+57237.69+18499.61+70077.16+69772.74</f>
        <v>3451253.7600000002</v>
      </c>
      <c r="C26" s="15"/>
      <c r="D26" s="18" t="s">
        <v>95</v>
      </c>
      <c r="E26" s="19"/>
      <c r="F26" s="51">
        <v>69772.74</v>
      </c>
    </row>
    <row r="27" spans="1:6" ht="21">
      <c r="A27" s="23"/>
      <c r="B27" s="14">
        <f>695+23299+25372+15839+28854.06+4935+47718</f>
        <v>146712.06</v>
      </c>
      <c r="C27" s="15"/>
      <c r="D27" s="18" t="s">
        <v>56</v>
      </c>
      <c r="E27" s="19"/>
      <c r="F27" s="17">
        <v>47718</v>
      </c>
    </row>
    <row r="28" spans="1:6" ht="21">
      <c r="A28" s="23"/>
      <c r="B28" s="14">
        <f>7030+7418</f>
        <v>14448</v>
      </c>
      <c r="C28" s="15"/>
      <c r="D28" s="18" t="s">
        <v>57</v>
      </c>
      <c r="E28" s="19"/>
      <c r="F28" s="17">
        <v>7418</v>
      </c>
    </row>
    <row r="29" spans="1:6" ht="21">
      <c r="A29" s="23"/>
      <c r="B29" s="14">
        <f>10000+15000</f>
        <v>25000</v>
      </c>
      <c r="C29" s="15"/>
      <c r="D29" s="18" t="s">
        <v>44</v>
      </c>
      <c r="E29" s="19"/>
      <c r="F29" s="17">
        <v>0</v>
      </c>
    </row>
    <row r="30" spans="1:6" ht="21">
      <c r="A30" s="23"/>
      <c r="B30" s="14">
        <f>6750</f>
        <v>6750</v>
      </c>
      <c r="C30" s="15"/>
      <c r="D30" s="18" t="s">
        <v>89</v>
      </c>
      <c r="E30" s="19"/>
      <c r="F30" s="17">
        <v>0</v>
      </c>
    </row>
    <row r="31" spans="1:6" ht="21">
      <c r="A31" s="23"/>
      <c r="B31" s="14">
        <f>106.75+40.42+28.95+1.11+5.74+585.91+208.25</f>
        <v>977.13</v>
      </c>
      <c r="C31" s="15"/>
      <c r="D31" s="18" t="s">
        <v>59</v>
      </c>
      <c r="E31" s="19"/>
      <c r="F31" s="17">
        <v>208.25</v>
      </c>
    </row>
    <row r="32" spans="1:6" ht="21">
      <c r="A32" s="23"/>
      <c r="B32" s="14">
        <f>7500+34960+1500+105570+550900+63000+362200+100650+125800+188410</f>
        <v>1540490</v>
      </c>
      <c r="C32" s="15"/>
      <c r="D32" s="18" t="s">
        <v>87</v>
      </c>
      <c r="E32" s="19"/>
      <c r="F32" s="17">
        <v>188410</v>
      </c>
    </row>
    <row r="33" spans="1:6" ht="21">
      <c r="A33" s="23"/>
      <c r="B33" s="14">
        <f>4000+249500+1793500+1358700+3205763+1212.9</f>
        <v>6612675.9</v>
      </c>
      <c r="C33" s="15"/>
      <c r="D33" s="18" t="s">
        <v>88</v>
      </c>
      <c r="E33" s="19"/>
      <c r="F33" s="17">
        <v>1212.9</v>
      </c>
    </row>
    <row r="34" spans="1:6" ht="21">
      <c r="A34" s="23"/>
      <c r="B34" s="24">
        <f>SUM(B26:B33)</f>
        <v>11798306.850000001</v>
      </c>
      <c r="C34" s="15"/>
      <c r="D34" s="1" t="s">
        <v>45</v>
      </c>
      <c r="E34" s="19"/>
      <c r="F34" s="24">
        <f>SUM(F26:F33)</f>
        <v>314739.89</v>
      </c>
    </row>
    <row r="35" spans="1:8" ht="21.75" thickBot="1">
      <c r="A35" s="23"/>
      <c r="B35" s="13">
        <f>B25+B34</f>
        <v>83411628</v>
      </c>
      <c r="C35" s="15"/>
      <c r="D35" s="1" t="s">
        <v>46</v>
      </c>
      <c r="E35" s="26"/>
      <c r="F35" s="13">
        <f>F25+F34</f>
        <v>7341161.6899999995</v>
      </c>
      <c r="H35" s="34"/>
    </row>
    <row r="36" spans="1:6" ht="14.25" customHeight="1" thickTop="1">
      <c r="A36" s="23"/>
      <c r="B36" s="23"/>
      <c r="C36" s="23"/>
      <c r="D36" s="2"/>
      <c r="E36" s="28"/>
      <c r="F36" s="23"/>
    </row>
    <row r="37" spans="1:6" ht="14.25" customHeight="1">
      <c r="A37" s="23"/>
      <c r="B37" s="23"/>
      <c r="C37" s="23"/>
      <c r="D37" s="2"/>
      <c r="E37" s="28"/>
      <c r="F37" s="23"/>
    </row>
    <row r="38" spans="1:6" ht="21">
      <c r="A38" s="23"/>
      <c r="B38" s="23"/>
      <c r="C38" s="23"/>
      <c r="D38" s="27"/>
      <c r="E38" s="28"/>
      <c r="F38" s="23"/>
    </row>
    <row r="39" spans="1:6" ht="21">
      <c r="A39" s="23"/>
      <c r="B39" s="23"/>
      <c r="C39" s="23"/>
      <c r="D39" s="27"/>
      <c r="E39" s="28"/>
      <c r="F39" s="23"/>
    </row>
    <row r="40" spans="1:6" ht="21">
      <c r="A40" s="23"/>
      <c r="B40" s="23"/>
      <c r="C40" s="23"/>
      <c r="D40" s="27"/>
      <c r="E40" s="28"/>
      <c r="F40" s="23"/>
    </row>
    <row r="41" spans="1:7" ht="21">
      <c r="A41" s="23"/>
      <c r="B41" s="23"/>
      <c r="C41" s="23"/>
      <c r="D41" s="27"/>
      <c r="E41" s="28"/>
      <c r="F41" s="23"/>
      <c r="G41" s="28"/>
    </row>
    <row r="42" spans="1:10" ht="21">
      <c r="A42" s="29"/>
      <c r="B42" s="29"/>
      <c r="C42" s="30" t="s">
        <v>25</v>
      </c>
      <c r="D42" s="7"/>
      <c r="E42" s="31"/>
      <c r="F42" s="29"/>
      <c r="H42" s="10"/>
      <c r="I42" s="32"/>
      <c r="J42" s="32"/>
    </row>
    <row r="43" spans="1:10" ht="21">
      <c r="A43" s="17">
        <v>6169464</v>
      </c>
      <c r="B43" s="17">
        <f>1500+58763+298282+87716+16852+37032+16639+2841041+44526.4+17131</f>
        <v>3419482.4</v>
      </c>
      <c r="C43" s="33"/>
      <c r="D43" s="18" t="s">
        <v>26</v>
      </c>
      <c r="E43" s="19" t="s">
        <v>55</v>
      </c>
      <c r="F43" s="17">
        <v>17131</v>
      </c>
      <c r="H43" s="22"/>
      <c r="I43" s="32"/>
      <c r="J43" s="32"/>
    </row>
    <row r="44" spans="1:11" ht="21">
      <c r="A44" s="17">
        <v>6530630</v>
      </c>
      <c r="B44" s="17">
        <f>488807.09+468314.51+455473.53+451220.26+441290+463550+466910+465230+487830+488215</f>
        <v>4676840.390000001</v>
      </c>
      <c r="C44" s="33"/>
      <c r="D44" s="18" t="s">
        <v>27</v>
      </c>
      <c r="E44" s="19">
        <v>100</v>
      </c>
      <c r="F44" s="17">
        <v>488215</v>
      </c>
      <c r="H44" s="22"/>
      <c r="I44" s="32"/>
      <c r="J44" s="32"/>
      <c r="K44" s="34" t="s">
        <v>60</v>
      </c>
    </row>
    <row r="45" spans="1:11" ht="21">
      <c r="A45" s="17">
        <v>3670580</v>
      </c>
      <c r="B45" s="17">
        <f>295740+246760+241920+241300.65+240720+241880+247738.66+252340+248920+505958</f>
        <v>2763277.3099999996</v>
      </c>
      <c r="C45" s="33"/>
      <c r="D45" s="18" t="s">
        <v>54</v>
      </c>
      <c r="E45" s="19" t="s">
        <v>50</v>
      </c>
      <c r="F45" s="17">
        <v>505958</v>
      </c>
      <c r="H45" s="22"/>
      <c r="I45" s="32"/>
      <c r="J45" s="32"/>
      <c r="K45" s="34"/>
    </row>
    <row r="46" spans="1:11" ht="21">
      <c r="A46" s="35">
        <v>3824400</v>
      </c>
      <c r="B46" s="17">
        <f>392807+223511.75+231440.25+219982.5+225823.5+221685-600+219114+250425+214196+93601.75</f>
        <v>2291986.75</v>
      </c>
      <c r="C46" s="33"/>
      <c r="D46" s="18" t="s">
        <v>28</v>
      </c>
      <c r="E46" s="19" t="s">
        <v>37</v>
      </c>
      <c r="F46" s="17">
        <v>93601.75</v>
      </c>
      <c r="H46" s="22"/>
      <c r="I46" s="32"/>
      <c r="J46" s="32"/>
      <c r="K46" s="34" t="s">
        <v>60</v>
      </c>
    </row>
    <row r="47" spans="1:11" ht="21">
      <c r="A47" s="35">
        <v>9256200</v>
      </c>
      <c r="B47" s="35">
        <f>13486+125441.4+287117+443054.09+911843+694496+600+941691+1026685+690425.98+1757998.94</f>
        <v>6892838.41</v>
      </c>
      <c r="C47" s="33"/>
      <c r="D47" s="18" t="s">
        <v>29</v>
      </c>
      <c r="E47" s="19" t="s">
        <v>38</v>
      </c>
      <c r="F47" s="17">
        <v>1757998.94</v>
      </c>
      <c r="H47" s="36"/>
      <c r="I47" s="32"/>
      <c r="J47" s="32"/>
      <c r="K47" s="34"/>
    </row>
    <row r="48" spans="1:11" ht="21">
      <c r="A48" s="35">
        <v>4110303</v>
      </c>
      <c r="B48" s="35">
        <f>91338.75+149061.6+94352.75+238684.4+160709.65+145681+384213+146539.2+515645.55</f>
        <v>1926225.9</v>
      </c>
      <c r="C48" s="33"/>
      <c r="D48" s="18" t="s">
        <v>30</v>
      </c>
      <c r="E48" s="19" t="s">
        <v>39</v>
      </c>
      <c r="F48" s="17">
        <v>515645.55</v>
      </c>
      <c r="H48" s="36"/>
      <c r="I48" s="32"/>
      <c r="J48" s="32"/>
      <c r="K48" s="34"/>
    </row>
    <row r="49" spans="1:11" ht="21">
      <c r="A49" s="17">
        <v>468000</v>
      </c>
      <c r="B49" s="35">
        <f>3986.02+26627.44+25086.71+5086.14+16242.51+51570.24+107+28029.26+1183.45+76637.59</f>
        <v>234556.36000000002</v>
      </c>
      <c r="C49" s="33"/>
      <c r="D49" s="18" t="s">
        <v>31</v>
      </c>
      <c r="E49" s="19" t="s">
        <v>40</v>
      </c>
      <c r="F49" s="17">
        <v>76637.59</v>
      </c>
      <c r="H49" s="36"/>
      <c r="I49" s="32"/>
      <c r="J49" s="32"/>
      <c r="K49" s="34"/>
    </row>
    <row r="50" spans="1:11" ht="21">
      <c r="A50" s="17">
        <v>2421123</v>
      </c>
      <c r="B50" s="17">
        <f>845000+50000+201909.42+845000</f>
        <v>1941909.42</v>
      </c>
      <c r="C50" s="33"/>
      <c r="D50" s="18" t="s">
        <v>14</v>
      </c>
      <c r="E50" s="19" t="s">
        <v>41</v>
      </c>
      <c r="F50" s="17"/>
      <c r="H50" s="36"/>
      <c r="I50" s="32"/>
      <c r="J50" s="32"/>
      <c r="K50" s="34"/>
    </row>
    <row r="51" spans="1:11" ht="21">
      <c r="A51" s="17">
        <v>171500</v>
      </c>
      <c r="B51" s="17">
        <v>164900</v>
      </c>
      <c r="C51" s="33"/>
      <c r="D51" s="18" t="s">
        <v>32</v>
      </c>
      <c r="E51" s="19" t="s">
        <v>42</v>
      </c>
      <c r="F51" s="17">
        <v>0</v>
      </c>
      <c r="H51" s="36"/>
      <c r="I51" s="32"/>
      <c r="J51" s="32"/>
      <c r="K51" s="34"/>
    </row>
    <row r="52" spans="1:11" ht="21">
      <c r="A52" s="17">
        <v>2380200</v>
      </c>
      <c r="B52" s="17">
        <v>0</v>
      </c>
      <c r="C52" s="33"/>
      <c r="D52" s="18" t="s">
        <v>33</v>
      </c>
      <c r="E52" s="19" t="s">
        <v>43</v>
      </c>
      <c r="F52" s="17">
        <v>0</v>
      </c>
      <c r="H52" s="36"/>
      <c r="I52" s="32"/>
      <c r="J52" s="32"/>
      <c r="K52" s="34"/>
    </row>
    <row r="53" spans="1:11" ht="21.75" thickBot="1">
      <c r="A53" s="21">
        <f>SUM(A43:A52)</f>
        <v>39002400</v>
      </c>
      <c r="B53" s="13">
        <f>SUM(B43:B52)</f>
        <v>24312016.939999998</v>
      </c>
      <c r="C53" s="80" t="s">
        <v>34</v>
      </c>
      <c r="D53" s="85"/>
      <c r="E53" s="19"/>
      <c r="F53" s="13">
        <f>SUM(F43:F52)</f>
        <v>3455187.8299999996</v>
      </c>
      <c r="H53" s="34"/>
      <c r="I53" s="32"/>
      <c r="J53" s="32"/>
      <c r="K53" s="34"/>
    </row>
    <row r="54" spans="1:11" ht="21.75" thickTop="1">
      <c r="A54" s="23"/>
      <c r="B54" s="35">
        <f>2688000+410800+1185600+2815200-7800+1172200+1168900+1164500+1162400</f>
        <v>11759800</v>
      </c>
      <c r="C54" s="33"/>
      <c r="D54" s="18" t="s">
        <v>64</v>
      </c>
      <c r="E54" s="19"/>
      <c r="F54" s="17">
        <v>1162400</v>
      </c>
      <c r="H54" s="34"/>
      <c r="I54" s="32"/>
      <c r="J54" s="32"/>
      <c r="K54" s="34"/>
    </row>
    <row r="55" spans="1:11" ht="21">
      <c r="A55" s="23"/>
      <c r="B55" s="35">
        <f>246000+88500+157500+245500+122000+122000+122000+121000</f>
        <v>1224500</v>
      </c>
      <c r="C55" s="33"/>
      <c r="D55" s="18" t="s">
        <v>65</v>
      </c>
      <c r="E55" s="19"/>
      <c r="F55" s="17">
        <v>121000</v>
      </c>
      <c r="H55" s="34"/>
      <c r="I55" s="32"/>
      <c r="J55" s="32"/>
      <c r="K55" s="34"/>
    </row>
    <row r="56" spans="1:11" ht="21">
      <c r="A56" s="23"/>
      <c r="B56" s="35">
        <f>103110+33777</f>
        <v>136887</v>
      </c>
      <c r="C56" s="33"/>
      <c r="D56" s="18" t="s">
        <v>86</v>
      </c>
      <c r="E56" s="19"/>
      <c r="F56" s="17">
        <v>33777</v>
      </c>
      <c r="H56" s="34"/>
      <c r="I56" s="32"/>
      <c r="J56" s="32"/>
      <c r="K56" s="34"/>
    </row>
    <row r="57" spans="1:11" ht="21">
      <c r="A57" s="23"/>
      <c r="B57" s="35">
        <f>998000</f>
        <v>998000</v>
      </c>
      <c r="C57" s="33"/>
      <c r="D57" s="18" t="s">
        <v>94</v>
      </c>
      <c r="E57" s="19"/>
      <c r="F57" s="17">
        <v>0</v>
      </c>
      <c r="H57" s="34"/>
      <c r="I57" s="32"/>
      <c r="J57" s="32"/>
      <c r="K57" s="34"/>
    </row>
    <row r="58" spans="1:11" ht="21">
      <c r="A58" s="23"/>
      <c r="B58" s="35">
        <v>998000</v>
      </c>
      <c r="C58" s="33"/>
      <c r="D58" s="18" t="s">
        <v>101</v>
      </c>
      <c r="E58" s="19"/>
      <c r="F58" s="17">
        <v>0</v>
      </c>
      <c r="H58" s="34"/>
      <c r="I58" s="32"/>
      <c r="J58" s="32"/>
      <c r="K58" s="34"/>
    </row>
    <row r="59" spans="1:11" ht="21">
      <c r="A59" s="23"/>
      <c r="B59" s="49">
        <f>SUM(B54:B58)</f>
        <v>15117187</v>
      </c>
      <c r="C59" s="33"/>
      <c r="D59" s="1" t="s">
        <v>73</v>
      </c>
      <c r="E59" s="19"/>
      <c r="F59" s="24">
        <f>SUM(F54:F58)</f>
        <v>1317177</v>
      </c>
      <c r="H59" s="34"/>
      <c r="I59" s="32"/>
      <c r="J59" s="32"/>
      <c r="K59" s="34"/>
    </row>
    <row r="60" spans="1:11" ht="21.75" thickBot="1">
      <c r="A60" s="23"/>
      <c r="B60" s="13">
        <f>B53+B59</f>
        <v>39429203.94</v>
      </c>
      <c r="C60" s="37" t="s">
        <v>62</v>
      </c>
      <c r="D60" s="18"/>
      <c r="E60" s="19"/>
      <c r="F60" s="13">
        <f>F53+F59</f>
        <v>4772364.83</v>
      </c>
      <c r="H60" s="34"/>
      <c r="I60" s="32"/>
      <c r="J60" s="32"/>
      <c r="K60" s="34"/>
    </row>
    <row r="61" spans="1:11" ht="21.75" thickTop="1">
      <c r="A61" s="23"/>
      <c r="B61" s="17">
        <f>77507.72+3053054+36910+53427.62+90994.71+23790.19+11180.08</f>
        <v>3346864.3200000003</v>
      </c>
      <c r="C61" s="37"/>
      <c r="D61" s="18" t="s">
        <v>95</v>
      </c>
      <c r="E61" s="19"/>
      <c r="F61" s="17">
        <v>11180.08</v>
      </c>
      <c r="H61" s="34"/>
      <c r="I61" s="32"/>
      <c r="J61" s="32"/>
      <c r="K61" s="34"/>
    </row>
    <row r="62" spans="1:10" ht="21">
      <c r="A62" s="28"/>
      <c r="B62" s="38">
        <f>7500+94960+41700+552370+52700+374900+100250+57000+192520+66590</f>
        <v>1540490</v>
      </c>
      <c r="C62" s="28"/>
      <c r="D62" s="39" t="s">
        <v>72</v>
      </c>
      <c r="E62" s="19"/>
      <c r="F62" s="17">
        <v>66590</v>
      </c>
      <c r="H62" s="34"/>
      <c r="I62" s="32"/>
      <c r="J62" s="32"/>
    </row>
    <row r="63" spans="1:6" ht="21">
      <c r="A63" s="40"/>
      <c r="B63" s="38">
        <f>1060160+1055843+68870+1855582.9+1333020+1332177+7800+33777+33777+33777</f>
        <v>6814783.9</v>
      </c>
      <c r="C63" s="2"/>
      <c r="D63" s="39" t="s">
        <v>58</v>
      </c>
      <c r="E63" s="16"/>
      <c r="F63" s="41"/>
    </row>
    <row r="64" spans="1:6" ht="21">
      <c r="A64" s="40"/>
      <c r="B64" s="38">
        <f>1635021.41+6234</f>
        <v>1641255.41</v>
      </c>
      <c r="C64" s="2"/>
      <c r="D64" s="39" t="s">
        <v>66</v>
      </c>
      <c r="E64" s="16"/>
      <c r="F64" s="41">
        <v>6234</v>
      </c>
    </row>
    <row r="65" spans="1:6" ht="21">
      <c r="A65" s="40"/>
      <c r="B65" s="38">
        <f>2320000+15000+250666.36+126999.75</f>
        <v>2712666.11</v>
      </c>
      <c r="C65" s="2"/>
      <c r="D65" s="39" t="s">
        <v>53</v>
      </c>
      <c r="E65" s="16"/>
      <c r="F65" s="41">
        <v>0</v>
      </c>
    </row>
    <row r="66" spans="1:6" ht="21">
      <c r="A66" s="40"/>
      <c r="B66" s="38">
        <f>139000+877498+735400+3154849+2747000+726600+235000+1165000</f>
        <v>9780347</v>
      </c>
      <c r="C66" s="2"/>
      <c r="D66" s="39" t="s">
        <v>52</v>
      </c>
      <c r="E66" s="16"/>
      <c r="F66" s="41">
        <v>1165000</v>
      </c>
    </row>
    <row r="67" spans="1:8" s="28" customFormat="1" ht="21">
      <c r="A67" s="40"/>
      <c r="B67" s="38">
        <f>100000+465500+234000</f>
        <v>799500</v>
      </c>
      <c r="C67" s="2"/>
      <c r="D67" s="39" t="s">
        <v>99</v>
      </c>
      <c r="E67" s="16"/>
      <c r="F67" s="41">
        <v>234000</v>
      </c>
      <c r="H67" s="42"/>
    </row>
    <row r="68" spans="1:6" s="28" customFormat="1" ht="21">
      <c r="A68" s="43"/>
      <c r="B68" s="44">
        <f>SUM(B61:B67)</f>
        <v>26635906.740000002</v>
      </c>
      <c r="C68" s="2"/>
      <c r="D68" s="2" t="s">
        <v>45</v>
      </c>
      <c r="E68" s="26"/>
      <c r="F68" s="24">
        <f>SUM(F61:F67)</f>
        <v>1483004.08</v>
      </c>
    </row>
    <row r="69" spans="1:8" ht="21.75" thickBot="1">
      <c r="A69" s="18"/>
      <c r="B69" s="13">
        <f>B60+B68</f>
        <v>66065110.68</v>
      </c>
      <c r="C69" s="80" t="s">
        <v>48</v>
      </c>
      <c r="D69" s="81"/>
      <c r="E69" s="85"/>
      <c r="F69" s="13">
        <f>F60+F68</f>
        <v>6255368.91</v>
      </c>
      <c r="H69" s="32"/>
    </row>
    <row r="70" spans="1:6" ht="21.75" thickTop="1">
      <c r="A70" s="45"/>
      <c r="B70" s="17"/>
      <c r="C70" s="86" t="s">
        <v>35</v>
      </c>
      <c r="D70" s="87"/>
      <c r="E70" s="18"/>
      <c r="F70" s="17"/>
    </row>
    <row r="71" spans="1:8" ht="21">
      <c r="A71" s="46"/>
      <c r="B71" s="17">
        <f>B35-B69</f>
        <v>17346517.32</v>
      </c>
      <c r="C71" s="86" t="s">
        <v>90</v>
      </c>
      <c r="D71" s="81"/>
      <c r="E71" s="18"/>
      <c r="F71" s="17">
        <f>F35-F69</f>
        <v>1085792.7799999993</v>
      </c>
      <c r="H71" s="34"/>
    </row>
    <row r="72" spans="1:6" ht="21">
      <c r="A72" s="18"/>
      <c r="B72" s="16"/>
      <c r="C72" s="80" t="s">
        <v>47</v>
      </c>
      <c r="D72" s="81"/>
      <c r="E72" s="18"/>
      <c r="F72" s="17"/>
    </row>
    <row r="73" spans="1:8" ht="21.75" thickBot="1">
      <c r="A73" s="18"/>
      <c r="B73" s="13">
        <f>B7+B71</f>
        <v>73472693.59</v>
      </c>
      <c r="C73" s="80" t="s">
        <v>36</v>
      </c>
      <c r="D73" s="81"/>
      <c r="E73" s="18"/>
      <c r="F73" s="13">
        <f>F7+F71</f>
        <v>73472693.59</v>
      </c>
      <c r="H73" s="22"/>
    </row>
    <row r="74" spans="1:8" ht="21.75" thickTop="1">
      <c r="A74" s="28"/>
      <c r="B74" s="23"/>
      <c r="C74" s="2"/>
      <c r="D74" s="2"/>
      <c r="E74" s="28"/>
      <c r="F74" s="50"/>
      <c r="H74" s="22"/>
    </row>
    <row r="75" spans="1:8" ht="21">
      <c r="A75" s="28"/>
      <c r="B75" s="23"/>
      <c r="C75" s="2"/>
      <c r="D75" s="2"/>
      <c r="E75" s="28"/>
      <c r="F75" s="50"/>
      <c r="H75" s="22"/>
    </row>
    <row r="76" spans="1:8" ht="21">
      <c r="A76" s="28"/>
      <c r="B76" s="23"/>
      <c r="C76" s="2"/>
      <c r="D76" s="2"/>
      <c r="E76" s="28"/>
      <c r="F76" s="23"/>
      <c r="H76" s="22"/>
    </row>
    <row r="77" spans="1:8" ht="21">
      <c r="A77" s="28"/>
      <c r="B77" s="23"/>
      <c r="C77" s="2"/>
      <c r="D77" s="2"/>
      <c r="E77" s="28"/>
      <c r="F77" s="23"/>
      <c r="H77" s="34"/>
    </row>
    <row r="78" spans="1:6" ht="21">
      <c r="A78" s="28"/>
      <c r="B78" s="23"/>
      <c r="C78" s="2"/>
      <c r="D78" s="2"/>
      <c r="E78" s="28"/>
      <c r="F78" s="23"/>
    </row>
    <row r="80" ht="21">
      <c r="H80" s="34"/>
    </row>
    <row r="99" ht="21">
      <c r="B99" s="32"/>
    </row>
    <row r="100" ht="21">
      <c r="B100" s="34"/>
    </row>
  </sheetData>
  <sheetProtection/>
  <mergeCells count="8">
    <mergeCell ref="C72:D72"/>
    <mergeCell ref="C73:D73"/>
    <mergeCell ref="A5:B5"/>
    <mergeCell ref="C6:D6"/>
    <mergeCell ref="C53:D53"/>
    <mergeCell ref="C69:E69"/>
    <mergeCell ref="C70:D70"/>
    <mergeCell ref="C71:D71"/>
  </mergeCells>
  <printOptions/>
  <pageMargins left="0.3937007874015748" right="0" top="0.1968503937007874" bottom="0" header="0.15748031496062992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HomeUser</cp:lastModifiedBy>
  <cp:lastPrinted>2012-08-06T08:29:32Z</cp:lastPrinted>
  <dcterms:created xsi:type="dcterms:W3CDTF">2004-11-04T11:07:14Z</dcterms:created>
  <dcterms:modified xsi:type="dcterms:W3CDTF">2012-09-06T08:12:43Z</dcterms:modified>
  <cp:category/>
  <cp:version/>
  <cp:contentType/>
  <cp:contentStatus/>
</cp:coreProperties>
</file>